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N:\LRC Reports\FY2025\"/>
    </mc:Choice>
  </mc:AlternateContent>
  <xr:revisionPtr revIDLastSave="0" documentId="13_ncr:1_{65C2C5B9-0183-4B33-BC79-4019249A4DFE}" xr6:coauthVersionLast="47" xr6:coauthVersionMax="47" xr10:uidLastSave="{00000000-0000-0000-0000-000000000000}"/>
  <bookViews>
    <workbookView xWindow="-120" yWindow="-120" windowWidth="29040" windowHeight="15720" xr2:uid="{CB869693-D98A-4CAF-A97C-B1D00E852F47}"/>
  </bookViews>
  <sheets>
    <sheet name="Overall" sheetId="1" r:id="rId1"/>
    <sheet name="Carryover (Reserves)" sheetId="3" r:id="rId2"/>
    <sheet name="Carryover (Reserves) (2)" sheetId="2"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7" i="3"/>
  <c r="Y9" i="1" l="1"/>
  <c r="Y4" i="1"/>
  <c r="X11" i="1"/>
  <c r="X9" i="1"/>
  <c r="X4" i="1"/>
  <c r="W4" i="1"/>
  <c r="W11" i="1"/>
  <c r="W9" i="1"/>
  <c r="W7" i="1"/>
  <c r="V9" i="1"/>
  <c r="V4" i="1"/>
  <c r="U4" i="1"/>
  <c r="U11" i="1"/>
  <c r="U9" i="1"/>
  <c r="T4" i="1"/>
  <c r="T6" i="1" s="1"/>
  <c r="T13" i="1" s="1"/>
  <c r="S4" i="1"/>
  <c r="S9" i="1"/>
  <c r="S11" i="1"/>
  <c r="R11" i="1"/>
  <c r="R9" i="1"/>
  <c r="R4" i="1"/>
  <c r="R6" i="1" s="1"/>
  <c r="Q11" i="1"/>
  <c r="Q9" i="1"/>
  <c r="Q6" i="1"/>
  <c r="Q4" i="1"/>
  <c r="P11" i="1"/>
  <c r="P9" i="1"/>
  <c r="P4" i="1"/>
  <c r="P6" i="1" s="1"/>
  <c r="P8" i="1" s="1"/>
  <c r="O5" i="1"/>
  <c r="O11" i="1"/>
  <c r="O9" i="1"/>
  <c r="O7" i="1"/>
  <c r="O4" i="1"/>
  <c r="N4" i="1"/>
  <c r="N9" i="1"/>
  <c r="N11" i="1"/>
  <c r="N7" i="1"/>
  <c r="L7" i="1"/>
  <c r="M9" i="1"/>
  <c r="M4" i="1"/>
  <c r="L9" i="1"/>
  <c r="L11" i="1"/>
  <c r="L4" i="1"/>
  <c r="K9" i="1"/>
  <c r="K4" i="1"/>
  <c r="I9" i="1"/>
  <c r="I4" i="1"/>
  <c r="H9" i="1"/>
  <c r="H4" i="1"/>
  <c r="H6" i="1"/>
  <c r="G7" i="1"/>
  <c r="G11" i="1"/>
  <c r="G9" i="1"/>
  <c r="G4" i="1"/>
  <c r="F11" i="1"/>
  <c r="F12" i="1"/>
  <c r="F9" i="1"/>
  <c r="F10" i="1"/>
  <c r="F4" i="1"/>
  <c r="E11" i="1"/>
  <c r="E9" i="1"/>
  <c r="E7" i="1"/>
  <c r="E4" i="1"/>
  <c r="D11" i="1"/>
  <c r="D9" i="1"/>
  <c r="D7" i="1"/>
  <c r="D4" i="1"/>
  <c r="C9" i="1"/>
  <c r="C4" i="1"/>
  <c r="B11" i="1"/>
  <c r="B9" i="1"/>
  <c r="B7" i="1"/>
  <c r="B4" i="1"/>
  <c r="J6" i="1"/>
  <c r="J13" i="1"/>
  <c r="K6" i="1"/>
  <c r="K12" i="1" s="1"/>
  <c r="K8" i="1"/>
  <c r="AB13" i="1"/>
  <c r="AV11" i="1"/>
  <c r="AV9" i="1"/>
  <c r="AV7" i="1"/>
  <c r="AV5" i="1"/>
  <c r="AV4" i="1"/>
  <c r="AW9" i="1"/>
  <c r="AW11" i="1"/>
  <c r="AW7" i="1"/>
  <c r="AW5" i="1"/>
  <c r="BA9" i="1"/>
  <c r="BA5" i="1"/>
  <c r="BA4" i="1"/>
  <c r="BA6" i="1"/>
  <c r="AZ9" i="1"/>
  <c r="AZ5" i="1"/>
  <c r="AZ4" i="1"/>
  <c r="AY9" i="1"/>
  <c r="AY5" i="1"/>
  <c r="AY4" i="1"/>
  <c r="BB6" i="1"/>
  <c r="AT11" i="1"/>
  <c r="AT9" i="1"/>
  <c r="AT7" i="1"/>
  <c r="AN11" i="1"/>
  <c r="AN7" i="1"/>
  <c r="AN6" i="1"/>
  <c r="AN10" i="1"/>
  <c r="AM11" i="1"/>
  <c r="AM9" i="1"/>
  <c r="AM7" i="1"/>
  <c r="BA10" i="1"/>
  <c r="BA8" i="1"/>
  <c r="BA13" i="1"/>
  <c r="BA12" i="1"/>
  <c r="BB12" i="1"/>
  <c r="BB10" i="1"/>
  <c r="BB8" i="1"/>
  <c r="BB13" i="1"/>
  <c r="AN8" i="1"/>
  <c r="AN13" i="1"/>
  <c r="AN12" i="1"/>
  <c r="AK7" i="1"/>
  <c r="AI7" i="1"/>
  <c r="AI4" i="1"/>
  <c r="AI6" i="1"/>
  <c r="AI12" i="1"/>
  <c r="AJ11" i="1"/>
  <c r="AJ7" i="1"/>
  <c r="AA7" i="1"/>
  <c r="AA9" i="1"/>
  <c r="Z7" i="1"/>
  <c r="Z6" i="1"/>
  <c r="Z12" i="1"/>
  <c r="AD7" i="1"/>
  <c r="AC7" i="1"/>
  <c r="AB7" i="1"/>
  <c r="AH7" i="1"/>
  <c r="AG7" i="1"/>
  <c r="AS7" i="1"/>
  <c r="AS9" i="1"/>
  <c r="AF7" i="1"/>
  <c r="AE7" i="1"/>
  <c r="AE4" i="1"/>
  <c r="AE6" i="1"/>
  <c r="AU7" i="1"/>
  <c r="AR11" i="1"/>
  <c r="AR7" i="1"/>
  <c r="AO7" i="1"/>
  <c r="AO9" i="1"/>
  <c r="AO4" i="1"/>
  <c r="AO6" i="1"/>
  <c r="AP7" i="1"/>
  <c r="AP4" i="1"/>
  <c r="AP6" i="1"/>
  <c r="AQ11" i="1"/>
  <c r="AQ7" i="1"/>
  <c r="AW6" i="1"/>
  <c r="AU6" i="1"/>
  <c r="AU10" i="1"/>
  <c r="AT6" i="1"/>
  <c r="AX5" i="1"/>
  <c r="AX6" i="1"/>
  <c r="AZ6" i="1"/>
  <c r="AZ8" i="1"/>
  <c r="AY6" i="1"/>
  <c r="AY8" i="1"/>
  <c r="AV6" i="1"/>
  <c r="AS6" i="1"/>
  <c r="AR6" i="1"/>
  <c r="AQ6" i="1"/>
  <c r="AM6" i="1"/>
  <c r="AM12" i="1"/>
  <c r="AJ6" i="1"/>
  <c r="AK6" i="1"/>
  <c r="AK12" i="1"/>
  <c r="AL6" i="1"/>
  <c r="AH6" i="1"/>
  <c r="AG6" i="1"/>
  <c r="AG12" i="1"/>
  <c r="AF6" i="1"/>
  <c r="AF12" i="1"/>
  <c r="AD6" i="1"/>
  <c r="AC6" i="1"/>
  <c r="AB6" i="1"/>
  <c r="AA6" i="1"/>
  <c r="Y6" i="1"/>
  <c r="X6" i="1"/>
  <c r="W6" i="1"/>
  <c r="W12" i="1" s="1"/>
  <c r="V6" i="1"/>
  <c r="U6" i="1"/>
  <c r="U13" i="1" s="1"/>
  <c r="S6" i="1"/>
  <c r="O6" i="1"/>
  <c r="N6" i="1"/>
  <c r="M6" i="1"/>
  <c r="L6" i="1"/>
  <c r="I6" i="1"/>
  <c r="F6" i="1"/>
  <c r="E6" i="1"/>
  <c r="D6" i="1"/>
  <c r="D10" i="1" s="1"/>
  <c r="C6" i="1"/>
  <c r="C12" i="1" s="1"/>
  <c r="B6" i="1"/>
  <c r="AR9" i="1"/>
  <c r="AR13" i="1"/>
  <c r="AT12" i="1"/>
  <c r="AD13" i="1"/>
  <c r="AL13" i="1"/>
  <c r="AW12" i="1"/>
  <c r="Z8" i="1"/>
  <c r="AQ9" i="1"/>
  <c r="AQ10" i="1"/>
  <c r="Z10" i="1"/>
  <c r="Z13" i="1"/>
  <c r="AT8" i="1"/>
  <c r="AT10" i="1"/>
  <c r="AW8" i="1"/>
  <c r="AJ12" i="1"/>
  <c r="AW10" i="1"/>
  <c r="AU8" i="1"/>
  <c r="AU12" i="1"/>
  <c r="AP13" i="1"/>
  <c r="AS10" i="1"/>
  <c r="AU13" i="1"/>
  <c r="AK13" i="1"/>
  <c r="AG8" i="1"/>
  <c r="AE10" i="1"/>
  <c r="AS12" i="1"/>
  <c r="AW13" i="1"/>
  <c r="AT13" i="1"/>
  <c r="AF10" i="1"/>
  <c r="AE12" i="1"/>
  <c r="B10" i="1"/>
  <c r="AJ13" i="1"/>
  <c r="AA12" i="1"/>
  <c r="AV13" i="1"/>
  <c r="AV8" i="1"/>
  <c r="AV10" i="1"/>
  <c r="AV12" i="1"/>
  <c r="AX13" i="1"/>
  <c r="AX8" i="1"/>
  <c r="AX10" i="1"/>
  <c r="AX12" i="1"/>
  <c r="AY13" i="1"/>
  <c r="AZ13" i="1"/>
  <c r="AH12" i="1"/>
  <c r="AO13" i="1"/>
  <c r="AY12" i="1"/>
  <c r="AB12" i="1"/>
  <c r="AH8" i="1"/>
  <c r="AJ8" i="1"/>
  <c r="AZ12" i="1"/>
  <c r="AC13" i="1"/>
  <c r="AL8" i="1"/>
  <c r="AY10" i="1"/>
  <c r="N8" i="1"/>
  <c r="AI8" i="1"/>
  <c r="AZ10" i="1"/>
  <c r="O8" i="1"/>
  <c r="AK8" i="1"/>
  <c r="AH10" i="1"/>
  <c r="AL12" i="1"/>
  <c r="AE13" i="1"/>
  <c r="AF13" i="1"/>
  <c r="AS13" i="1"/>
  <c r="AQ12" i="1"/>
  <c r="AG13" i="1"/>
  <c r="AP12" i="1"/>
  <c r="AC12" i="1"/>
  <c r="AH13" i="1"/>
  <c r="AA10" i="1"/>
  <c r="AL10" i="1"/>
  <c r="AI13" i="1"/>
  <c r="AI10" i="1"/>
  <c r="AK10" i="1"/>
  <c r="AJ10" i="1"/>
  <c r="AD12" i="1"/>
  <c r="AA8" i="1"/>
  <c r="AR12" i="1"/>
  <c r="AB8" i="1"/>
  <c r="AC8" i="1"/>
  <c r="AQ8" i="1"/>
  <c r="B12" i="1"/>
  <c r="AM8" i="1"/>
  <c r="AO8" i="1"/>
  <c r="AP8" i="1"/>
  <c r="N10" i="1"/>
  <c r="AD8" i="1"/>
  <c r="AM10" i="1"/>
  <c r="AM13" i="1"/>
  <c r="O10" i="1"/>
  <c r="AE8" i="1"/>
  <c r="AR8" i="1"/>
  <c r="AB10" i="1"/>
  <c r="AF8" i="1"/>
  <c r="AS8" i="1"/>
  <c r="AC10" i="1"/>
  <c r="AP10" i="1"/>
  <c r="Y12" i="1"/>
  <c r="AD10" i="1"/>
  <c r="G6" i="1"/>
  <c r="G8" i="1"/>
  <c r="N12" i="1"/>
  <c r="AG10" i="1"/>
  <c r="AO12" i="1"/>
  <c r="O12" i="1"/>
  <c r="C10" i="1"/>
  <c r="E12" i="1"/>
  <c r="M10" i="1"/>
  <c r="Y10" i="1"/>
  <c r="L12" i="1"/>
  <c r="M12" i="1"/>
  <c r="Q10" i="1"/>
  <c r="N13" i="1"/>
  <c r="B8" i="1"/>
  <c r="O13" i="1"/>
  <c r="M8" i="1"/>
  <c r="H12" i="1"/>
  <c r="H8" i="1"/>
  <c r="H13" i="1"/>
  <c r="H10" i="1"/>
  <c r="I12" i="1"/>
  <c r="I8" i="1"/>
  <c r="I13" i="1"/>
  <c r="I10" i="1"/>
  <c r="V13" i="1"/>
  <c r="V12" i="1"/>
  <c r="V8" i="1"/>
  <c r="V10" i="1"/>
  <c r="W13" i="1"/>
  <c r="W10" i="1"/>
  <c r="L13" i="1"/>
  <c r="L10" i="1"/>
  <c r="X13" i="1"/>
  <c r="X8" i="1"/>
  <c r="X10" i="1"/>
  <c r="Y8" i="1"/>
  <c r="L8" i="1"/>
  <c r="B13" i="1"/>
  <c r="Q13" i="1"/>
  <c r="Q12" i="1"/>
  <c r="Q8" i="1"/>
  <c r="M13" i="1"/>
  <c r="E8" i="1"/>
  <c r="E13" i="1"/>
  <c r="E10" i="1"/>
  <c r="W8" i="1"/>
  <c r="F8" i="1"/>
  <c r="F13" i="1"/>
  <c r="S13" i="1"/>
  <c r="S12" i="1"/>
  <c r="S8" i="1"/>
  <c r="S10" i="1"/>
  <c r="X12" i="1"/>
  <c r="Y13" i="1"/>
  <c r="C10" i="2"/>
  <c r="AQ13" i="1"/>
  <c r="AR10" i="1"/>
  <c r="AO10" i="1"/>
  <c r="AA13" i="1"/>
  <c r="G10" i="1"/>
  <c r="G13" i="1"/>
  <c r="G12" i="1"/>
  <c r="P12" i="1" l="1"/>
  <c r="P10" i="1"/>
  <c r="P13" i="1"/>
  <c r="R8" i="1"/>
  <c r="R10" i="1"/>
  <c r="R12" i="1"/>
  <c r="R13" i="1"/>
  <c r="K10" i="1"/>
  <c r="K13" i="1"/>
  <c r="D8" i="1"/>
  <c r="U8" i="1"/>
  <c r="C13" i="1"/>
  <c r="U12" i="1"/>
  <c r="D13" i="1"/>
  <c r="U10" i="1"/>
  <c r="D12" i="1"/>
  <c r="C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Ginny P. Lee</author>
  </authors>
  <commentList>
    <comment ref="AV3" authorId="0" shapeId="0" xr:uid="{6BB2234B-18A6-477F-B4B2-448EE4A6C210}">
      <text>
        <r>
          <rPr>
            <b/>
            <sz val="9"/>
            <color indexed="81"/>
            <rFont val="Tahoma"/>
            <family val="2"/>
          </rPr>
          <t>Ginny P. Lee:</t>
        </r>
        <r>
          <rPr>
            <sz val="9"/>
            <color indexed="81"/>
            <rFont val="Tahoma"/>
            <family val="2"/>
          </rPr>
          <t xml:space="preserve">
KY Funding Only
</t>
        </r>
      </text>
    </comment>
    <comment ref="AW3" authorId="0" shapeId="0" xr:uid="{AAB5066B-042B-4F70-B323-B4D522D10C1B}">
      <text>
        <r>
          <rPr>
            <b/>
            <sz val="9"/>
            <color indexed="81"/>
            <rFont val="Tahoma"/>
            <family val="2"/>
          </rPr>
          <t>Ginny P. Lee:</t>
        </r>
        <r>
          <rPr>
            <sz val="9"/>
            <color indexed="81"/>
            <rFont val="Tahoma"/>
            <family val="2"/>
          </rPr>
          <t xml:space="preserve">
KY Portion Only
</t>
        </r>
      </text>
    </comment>
    <comment ref="AQ4" authorId="0" shapeId="0" xr:uid="{ADCCA3AD-32ED-48DC-82B6-A1A9CC1949D5}">
      <text>
        <r>
          <rPr>
            <b/>
            <sz val="9"/>
            <color indexed="81"/>
            <rFont val="Tahoma"/>
            <family val="2"/>
          </rPr>
          <t>Ginny P. Lee:</t>
        </r>
        <r>
          <rPr>
            <sz val="9"/>
            <color indexed="81"/>
            <rFont val="Tahoma"/>
            <family val="2"/>
          </rPr>
          <t xml:space="preserve">
Budget Amount</t>
        </r>
      </text>
    </comment>
    <comment ref="AQ5" authorId="0" shapeId="0" xr:uid="{1A4F62D1-CE85-4B19-8AE6-883C5791FB4D}">
      <text>
        <r>
          <rPr>
            <b/>
            <sz val="9"/>
            <color indexed="81"/>
            <rFont val="Tahoma"/>
            <family val="2"/>
          </rPr>
          <t>Ginny P. Lee:</t>
        </r>
        <r>
          <rPr>
            <sz val="9"/>
            <color indexed="81"/>
            <rFont val="Tahoma"/>
            <family val="2"/>
          </rPr>
          <t xml:space="preserve">
Local Funds Applied
</t>
        </r>
      </text>
    </comment>
    <comment ref="AQ7" authorId="0" shapeId="0" xr:uid="{169A1E2A-C187-42E7-8AC1-59BF884453DA}">
      <text>
        <r>
          <rPr>
            <b/>
            <sz val="9"/>
            <color indexed="81"/>
            <rFont val="Tahoma"/>
            <family val="2"/>
          </rPr>
          <t>Ginny P. Lee:</t>
        </r>
        <r>
          <rPr>
            <sz val="9"/>
            <color indexed="81"/>
            <rFont val="Tahoma"/>
            <family val="2"/>
          </rPr>
          <t xml:space="preserve">
Salary + Fringe Benefit
</t>
        </r>
      </text>
    </comment>
    <comment ref="AQ9" authorId="0" shapeId="0" xr:uid="{BC78F93B-A8C5-4063-A2C0-96E1A3048E23}">
      <text>
        <r>
          <rPr>
            <b/>
            <sz val="9"/>
            <color indexed="81"/>
            <rFont val="Tahoma"/>
            <family val="2"/>
          </rPr>
          <t>Ginny P. Lee:</t>
        </r>
        <r>
          <rPr>
            <sz val="9"/>
            <color indexed="81"/>
            <rFont val="Tahoma"/>
            <family val="2"/>
          </rPr>
          <t xml:space="preserve">
All Other Expenses
</t>
        </r>
      </text>
    </comment>
    <comment ref="AQ11" authorId="0" shapeId="0" xr:uid="{9A2D4879-CF52-4436-9FBF-C91D09514866}">
      <text>
        <r>
          <rPr>
            <b/>
            <sz val="9"/>
            <color indexed="81"/>
            <rFont val="Tahoma"/>
            <family val="2"/>
          </rPr>
          <t>Ginny P. Lee:</t>
        </r>
        <r>
          <rPr>
            <sz val="9"/>
            <color indexed="81"/>
            <rFont val="Tahoma"/>
            <family val="2"/>
          </rPr>
          <t xml:space="preserve">
Indirect Expenses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Ginny P. Lee</author>
  </authors>
  <commentList>
    <comment ref="C7" authorId="0" shapeId="0" xr:uid="{3E47474A-78A7-416A-B19C-C783317B2079}">
      <text>
        <r>
          <rPr>
            <b/>
            <sz val="9"/>
            <color indexed="81"/>
            <rFont val="Tahoma"/>
            <family val="2"/>
          </rPr>
          <t>Ginny P. Lee:</t>
        </r>
        <r>
          <rPr>
            <sz val="9"/>
            <color indexed="81"/>
            <rFont val="Tahoma"/>
            <family val="2"/>
          </rPr>
          <t xml:space="preserve">
?? Plug to get to Increase in Net Position for FY23 on MD&amp;A</t>
        </r>
      </text>
    </comment>
    <comment ref="C8" authorId="0" shapeId="0" xr:uid="{07BFC91E-3E93-4A45-9933-0708443914FF}">
      <text>
        <r>
          <rPr>
            <b/>
            <sz val="9"/>
            <color indexed="81"/>
            <rFont val="Tahoma"/>
            <family val="2"/>
          </rPr>
          <t>Ginny P. Lee:</t>
        </r>
        <r>
          <rPr>
            <sz val="9"/>
            <color indexed="81"/>
            <rFont val="Tahoma"/>
            <family val="2"/>
          </rPr>
          <t xml:space="preserve">
GASB 68 Adjustment</t>
        </r>
      </text>
    </comment>
    <comment ref="C9" authorId="0" shapeId="0" xr:uid="{532A9184-C8A6-45E7-97F0-96E8313E53CD}">
      <text>
        <r>
          <rPr>
            <b/>
            <sz val="9"/>
            <color indexed="81"/>
            <rFont val="Tahoma"/>
            <family val="2"/>
          </rPr>
          <t>Ginny P. Lee:</t>
        </r>
        <r>
          <rPr>
            <sz val="9"/>
            <color indexed="81"/>
            <rFont val="Tahoma"/>
            <family val="2"/>
          </rPr>
          <t xml:space="preserve">
OPEB Adjustment
</t>
        </r>
      </text>
    </comment>
  </commentList>
</comments>
</file>

<file path=xl/sharedStrings.xml><?xml version="1.0" encoding="utf-8"?>
<sst xmlns="http://schemas.openxmlformats.org/spreadsheetml/2006/main" count="269" uniqueCount="194">
  <si>
    <t>Title III B</t>
  </si>
  <si>
    <t>Title III B Omb</t>
  </si>
  <si>
    <t>Title III C1</t>
  </si>
  <si>
    <t>Title III C2</t>
  </si>
  <si>
    <t>Title III D</t>
  </si>
  <si>
    <t>Title III E</t>
  </si>
  <si>
    <t>Title VII Elder Abuse</t>
  </si>
  <si>
    <t>Title VII Ombudsman</t>
  </si>
  <si>
    <t>Ky Caregiver</t>
  </si>
  <si>
    <t>State Long Term Care Ombudsman</t>
  </si>
  <si>
    <t>Homecare</t>
  </si>
  <si>
    <t>SHIP</t>
  </si>
  <si>
    <t>ADRC Medicaid</t>
  </si>
  <si>
    <t>Expanding Senior Meals Program</t>
  </si>
  <si>
    <t>JFA-EDA</t>
  </si>
  <si>
    <t>JFA-CDBG</t>
  </si>
  <si>
    <t>JFA-Administration</t>
  </si>
  <si>
    <t>Regional Transportation</t>
  </si>
  <si>
    <t>Water Management Resources</t>
  </si>
  <si>
    <t>MPO</t>
  </si>
  <si>
    <t>Local Road Updates</t>
  </si>
  <si>
    <t>Grant Award</t>
  </si>
  <si>
    <t>Local Funds (Match or applied)</t>
  </si>
  <si>
    <t/>
  </si>
  <si>
    <t>Total Grant Funds</t>
  </si>
  <si>
    <t>Administrative Costs</t>
  </si>
  <si>
    <t>% of Admin Cost</t>
  </si>
  <si>
    <t>Direct Expenditures</t>
  </si>
  <si>
    <t>% of Direct Expenditures</t>
  </si>
  <si>
    <t>Indirect Expenditures</t>
  </si>
  <si>
    <t>% of Indirect Expenditures</t>
  </si>
  <si>
    <t>Unexpended Funds</t>
  </si>
  <si>
    <t>Explanation of Unexpended Funds</t>
  </si>
  <si>
    <t>Contract period has not ended</t>
  </si>
  <si>
    <t>Level of services was overprojected for the year.</t>
  </si>
  <si>
    <t>List of Direct Services provided by ADD</t>
  </si>
  <si>
    <t>Case Management Services, Information, Referral, and Assistance Services</t>
  </si>
  <si>
    <t>Assessment, Information and Referral, Supplemental Services</t>
  </si>
  <si>
    <t>Assessment, Information and Referral, and Supplemental Services</t>
  </si>
  <si>
    <t>Case Management Services, Home Visit, and Information and Referral</t>
  </si>
  <si>
    <t>Staff provides benefits counseling to Medicare beneficiaries and older adults in need of assistance for accessing benefits they need and those they are entitled to receive.  Trained counselors work with persons individually in various settings including telephonic assistance. Staff also provide and participate in various events, activities and outreach initiatives to provide information, knowledge, and education to the public about benefits, programs and services that can help Medicare Beneficiaries and persons 60 and older.</t>
  </si>
  <si>
    <t>The goal of this program is to improve Medicare Beneficiaries access to financial assistance programs, including Medicare Savings Programs and the Part D Low-Income Subsidy or Extra Help Benefit toward prescription drug plans selected.  SHIP (Benefits) Counselors provide Benefits Counseling, Transition Assistance, and Information Referral and Awareness to individuals and through health fairs and other events.</t>
  </si>
  <si>
    <t xml:space="preserve">The goal of this program is to improve Medicare Beneficiaries access to financial assistance programs, including Medicare Savings Programs and the Part D Low-Income Subsidy or Extra Help Benefit toward prescription drug plans selected.  AAA staff provides Benefits Counseling, Transition Assistance, and Information Referral and Awareness to individuals and through health fairs and other events. They also work with partner agencies to ensure they have access to information and training to help people they serve. </t>
  </si>
  <si>
    <t>The goal of this program is to improve Medicare Beneficiaries access to financial assistance programs, including Medicare Savings Programs and the Part D Low-Income Subsidy or Extra Help Benefit toward prescription drug plans selected. ADRC staff conducts outreach and facilitates community access to increase utilization of and enrollment of Medicare Beneficiaries for the Low Income Subsidy or Extra Help Benefit toward prescription drug plan counseling.</t>
  </si>
  <si>
    <t>Benefits Counseling, Care Coordination and Transition Assistance, Information Referral and Awareness, Intake and Assessment</t>
  </si>
  <si>
    <t>Direct Service Providers/Contractors Contracted by ADD and services provided</t>
  </si>
  <si>
    <t>Highlands Community Ministries: Advocacy, Education, Friendly Visiting, Health Promotion, Information and Referral, Outreach, Recreation</t>
  </si>
  <si>
    <t>Catholic Charities: Closing client complaints, Consultations to Facilities, Consultation/Informaiton to Individuals, Particiption in Facility Surveys, Working with Resident Councils, Working with Family Councils, Facility Visits, and Work with Media</t>
  </si>
  <si>
    <t>Louisville Metro Government – Nutrition Services: Nutrition Education, Meal Preparation, Meal Delivery</t>
  </si>
  <si>
    <t>Highlands Community Ministries: Disease Prevention</t>
  </si>
  <si>
    <t>Jewish Family and Career Services: Counseling, Support Groups, Caregiver Training, Respite, Assistance</t>
  </si>
  <si>
    <t>Catholic Charities: Prevention of ElderAbuse, Neglect, Exploitation and Presentations</t>
  </si>
  <si>
    <t>Masterson's Food and Drink: Nutrition Education, Meal Preparation</t>
  </si>
  <si>
    <t>Legal Aid Society: Assistance, Information, Supplement Services</t>
  </si>
  <si>
    <t>Catholic Charities: Identifying, investigating, and resolving complaints that are made by, or on behalf of, residents.  Relate to action, inaction or decisions that may adversely affect the health, safety, welfare, or rights of the residents.  Monitoring the development and implementation of federal state policies and regulationsrelated to long-term care facilities and Providing Information</t>
  </si>
  <si>
    <t>LifeLine: In-Home Services</t>
  </si>
  <si>
    <t>Jewish Family and Career Services: Advocacy, Case Management, Counseling, Education, Employment Services, Friendly Visiting, Health Promotion, Homemaking, Information and Referral, Outreach, Recreation, Telephone Reassurance</t>
  </si>
  <si>
    <t>Tri-County Community Action Agency: Nutrition Education, Meal Preparation, Meal Delivery</t>
  </si>
  <si>
    <t>Legal Aid Society: Legal Assistance, Access Assistance</t>
  </si>
  <si>
    <t>Jewish Community of Louisville: Nutrition Education, Meal Preparation</t>
  </si>
  <si>
    <t>Tri-County Community Action Agency: In-Home Services</t>
  </si>
  <si>
    <t>Legal Aid Society of Louisville: Legal Services, Information and Referral</t>
  </si>
  <si>
    <t>Multi-Purpose Community Action Agency: Nutrition Education, Meal Preparation, Meal Delivery</t>
  </si>
  <si>
    <t>Tri-County Community Action Agency: Disease Prevention</t>
  </si>
  <si>
    <t>UofL Trager Institute</t>
  </si>
  <si>
    <t>Multi-Purpose Community Agency-Bullitt: Advocacy, Counseling, Education, Employment Services, Health Promotion, Information and Referral, Outreach, Recreation, Telephone Reassurance</t>
  </si>
  <si>
    <t>Masterson’s Food and Drink: Nutrition Education, Meal Preparation, Meal Delivery</t>
  </si>
  <si>
    <t>Masterson’s Food and Drink: Nutrition Education, Meal Delivery</t>
  </si>
  <si>
    <t>Tri-County Community Action Agency-Henry: Advocacy, Counseling, Education, Friendly Visiting, Health Promotion, Information and Referral, Outreach, Recreation, Transportation, Telephone Reassurance, Adult Day Care Services</t>
  </si>
  <si>
    <t>Tri-County Community Action Agency-Oldham: Advocacy, Counseling, Education, Employment Services, Friendly Visiting, Health Promotion, Information and Referral, Outreach, Recreation, Transportation, Telephone Reassurance, Adult Day Care Services</t>
  </si>
  <si>
    <t>Tri-County Community Action Agency-Trimble: Advocacy, Counseling, Education, Friendly Visiting, Health Promotion, Information and Referral, Outreach, Recreation, Transportation, Telephone Reassurance, Adult Day Care Services</t>
  </si>
  <si>
    <t>Louisville Wheels, Inc.: Transportation Services</t>
  </si>
  <si>
    <t>Career Center Operators</t>
  </si>
  <si>
    <t>Training Service Providers and services provided</t>
  </si>
  <si>
    <t>Eligible Persons</t>
  </si>
  <si>
    <t># Persons Served</t>
  </si>
  <si>
    <t># People on Waiting List</t>
  </si>
  <si>
    <t>Performance Measures</t>
  </si>
  <si>
    <t>SEE MASTER PERFORMANCE MEASURE BINDER</t>
  </si>
  <si>
    <t>Elderserve CDBG</t>
  </si>
  <si>
    <t>Angel's Envy CDBG</t>
  </si>
  <si>
    <t>CED ARPA Contracts</t>
  </si>
  <si>
    <t>CWG Grants</t>
  </si>
  <si>
    <t>MSD Pump Station</t>
  </si>
  <si>
    <t>MSD Ash Ave Area Interceptor Project</t>
  </si>
  <si>
    <t>Angel's Envy EDA</t>
  </si>
  <si>
    <t>JFA-Technical Assistance</t>
  </si>
  <si>
    <t>Rideshare</t>
  </si>
  <si>
    <t>Administration and monitoring of the Davis-Bacon and American Iron &amp; Steel requirements for SRF funds to address I &amp; I issues at th Staff reviews AIS certifications, performs labor monitoring, and attends progress meetings.</t>
  </si>
  <si>
    <t xml:space="preserve">Staff is providing ARPA Administration to cities and counties in the KIPDA Region. </t>
  </si>
  <si>
    <t>Application process and exhibits required for CWP grant applications.  Administration and monitoring of the Davis-Bacon and American Iron &amp; Steel requirements for SRF funds to address I &amp; I issues at th Staff reviews AIS certifications, performs labor monitoring, and attends progress meetings.</t>
  </si>
  <si>
    <t xml:space="preserve">This project involves the construction of interceptor sewers from the Ash Avenue WWTP to the newly constructed Upper Floyds Fork Interceptor. The interceptor sewers will discharge at the Floyds Fork Water Quality Treatment Center (WQTC). The project will be broken into two contracts.  KIPDA staff assisted with the submittal of the SRF application.  Pre-construction meeting; monthly progress meetings.  </t>
  </si>
  <si>
    <t>Transportation planning services and support in the rural KIPDA Counties as part of the KYTC Statewide Transportation Planning process and the development of the Six-Year Highway Plan.</t>
  </si>
  <si>
    <t>Promoting alternative forms of transportation and providing ride-matching services. Management and operation of a vanpool program for commuting into, out of, and within the KIPDA region.</t>
  </si>
  <si>
    <t>Louisville Metro - Data Collection - contract with Louisville Metro to provide traffic count data, which is used to develop and maintain the KIPDA regional travel model
Transit Authority of River City (TARC) - Route Monitoring - contract with TARC to obtain ridership and other route data for use in transit planning efforts</t>
  </si>
  <si>
    <t>Program serves entire KIPDA Region including 114 Units of Government</t>
  </si>
  <si>
    <t>Program serves entire KIPDA Region inclusing 114 Units of Government</t>
  </si>
  <si>
    <t>Kentuckiana Regional Planning and Development Agency</t>
  </si>
  <si>
    <t>Amount</t>
  </si>
  <si>
    <t>Decrease in Net Position from regular operations</t>
  </si>
  <si>
    <t>Non Cash Pension Expense Adjustment to reflect agency's proportionate share of the net pension liability related to the County Employee Retirement System</t>
  </si>
  <si>
    <t>Non Cash other Postemployment Benefits other than Pensions (Retiree Health Insurance) to reflect Agency's proportionate share of the net liability of County Employee  Retirement System's health insurance funds</t>
  </si>
  <si>
    <t>Net increase in Reserves</t>
  </si>
  <si>
    <t xml:space="preserve">Program serves entire KIPDA Region including 114 Units of Government.  </t>
  </si>
  <si>
    <t>Updating the KYTC road centerline network on behalf of counties and municipalities, which supports federal programs for aid apportionment, the Highway Performance Monitoring System (HPMS), and the Financial Management Information System (FMIS).</t>
  </si>
  <si>
    <t>Net change in Reserves for FY 2024</t>
  </si>
  <si>
    <t>Haven Recovery CDBG</t>
  </si>
  <si>
    <t>HMGP Lebanon Junction Pump Station</t>
  </si>
  <si>
    <t>Safe Streets &amp; Roads for All</t>
  </si>
  <si>
    <t>INNU</t>
  </si>
  <si>
    <t>The amount of unexpended funds is as close as we could get to the contract amount without exceeding the limit</t>
  </si>
  <si>
    <t>Analysis was completed for allocation of work hours and work performed to ensure proper us of funds moving forward.</t>
  </si>
  <si>
    <t>Home delivered meals</t>
  </si>
  <si>
    <t>The goal of this program is to reduce social isolation and instruct providers, employees and volunteers in suicide risk reduction</t>
  </si>
  <si>
    <t>Jewish Family &amp; Career Services: Disease Prevention</t>
  </si>
  <si>
    <t>Southern Homecare Services: In-Home Services</t>
  </si>
  <si>
    <t>Commonwealth Care, Inc.: In-Home Services</t>
  </si>
  <si>
    <t>HDIS: Supplies</t>
  </si>
  <si>
    <t>VRI: Personal Emergency Response Systems</t>
  </si>
  <si>
    <t>PMF: Supplies</t>
  </si>
  <si>
    <t>Guardian Medical Monitoring: Personal Emergency Response Systems</t>
  </si>
  <si>
    <t>Independence Assistance Service Bluegrass: In-Home Services</t>
  </si>
  <si>
    <t>Visiting Angels: In-Home Services</t>
  </si>
  <si>
    <t>A regional data-driven safety planning effort to assess the crash trends and safety needs of the nine-county bi-state KIPDA Region.</t>
  </si>
  <si>
    <t>Taylorsville UofL Health CDBG</t>
  </si>
  <si>
    <t>EPA Brownfields</t>
  </si>
  <si>
    <t>Shepherdsville WWTP Improvements Prj EDA</t>
  </si>
  <si>
    <t>Shepherdsville WWTP Improvements Prj SRF</t>
  </si>
  <si>
    <t>Spencer Co WWTP Improvements Prj SRF</t>
  </si>
  <si>
    <t>1694 Joyes Station Rd Access Rd</t>
  </si>
  <si>
    <t>Town of Clarksville Empowering Prj</t>
  </si>
  <si>
    <t>Floyd County Paoli Pike Prj</t>
  </si>
  <si>
    <t>FRA Corridor Identification Grant</t>
  </si>
  <si>
    <t>UofL Norfolk Southern Railroad Prj</t>
  </si>
  <si>
    <t>Contract began FY24 and continues until completion, Original contract amount was $25,000.00 to be used over the course of the contract. Above grant award total was the anticipated budgeted amount for FY25. The unexpended funds will be rolled into the next fiscal year.</t>
  </si>
  <si>
    <t>Contract began in FY25 and continues until FY29. Original contract amount was $1,500,000.00 to be used over the course of the contract. Above grant award total was the anticipated budget amount for FY25. The overdrawn funds for FY25 will be pulled from the remaining fund balance.</t>
  </si>
  <si>
    <t>Contract began in FY23 and continued until FY25. Original contract amount was $35,000.00 to be used over the course of the contract. Above grant award total was the anticipated budget amount for FY25. The overdrawn funds for FY25 will be pulled from the remaining fund balance.</t>
  </si>
  <si>
    <t>Contract began FY22 and continues until completion, Original contract amount was $25,000.00 to be used over the course of the contract. Above grant award total was the anticipated budgeted amount for FY25. The unexpended funds will be rolled into the next fiscal year.</t>
  </si>
  <si>
    <t>Contract began in FY24 and continued until completion. Original contract amount was $18,291.00 to be used over the course of the contract. Above grant award total was the anticipated budget amount for FY25. The overdrawn funds for FY25 will be pulled from the remaining fund balance.</t>
  </si>
  <si>
    <t>Contracts began in FY22 and continue until completion, the total original contract amounts was $486,531.46 to be used over the course of the contract. Above grant award total was the anticipated budgeted amount for FY25. The unexpended funds will be rolled into the next fiscal year.</t>
  </si>
  <si>
    <t>Contracts began in FY22 and continue until completion, the total original contract amount was $311,334.91 to be used over the course of the contract. Above grant award total was the anticipated budgeted amount for FY25. The overdrawn funds for FY25 will be pulled from the remaining fund balance.</t>
  </si>
  <si>
    <t>Contract began in FY22 and continues until completion, the total original contract amount was $205,000.00 to be used over the course of the contract. Above grant award total was the anticipated budgeted amount for FY25. The overdrawn funds for FY25 will be pulled from the remaining fund balance.</t>
  </si>
  <si>
    <t>Contract began in FY22 and continues until completion, the total original contract amount was $50,000.00 to be used over the course of the contract. Above grant award total was the anticipated budgeted amount for FY25. The overdrawn funds for FY25 will be pulled from the remaining fund balance.</t>
  </si>
  <si>
    <t>Contract began in FY23 and continues until completion, the total original contract amount was $35,000.00 to be used over the course of the contract. Above grant award total was the anticipated budgeted amount for FY25. The overdrawn funds for FY25 will be pulled from the remaining fund balance.</t>
  </si>
  <si>
    <t>Contract began in FY23 and continues until completion, the total original contract amount was $3,500.00 to be used over the course of the contract. Above grant award total was the anticipated budgeted amount for FY25. The overdrawn funds for FY25 will be pulled from the remaining fund balance.</t>
  </si>
  <si>
    <t>Contract began FY25 and continues until FY29, Original contract amount was $35,000.00 to be used over the course of the contract. Above grant award total was the anticipated budgeted amount for FY25. The unexpended funds will be rolled into the next fiscal year.</t>
  </si>
  <si>
    <t>Contract began FY25 and continues until completion, Original contract amount was $50,000.00 to be used over the course of the contract. Above grant award total was the anticipated budgeted amount for FY25. The unexpended funds will be rolled into the next fiscal year.</t>
  </si>
  <si>
    <t>Contract began in FY25 and continues until completion, the total original contract amount was $5,000.00 to be used over the course of the contract. Above grant award total was the anticipated budgeted amount for FY25. The overdrawn funds for FY25 will be pulled from the remaining fund balance.</t>
  </si>
  <si>
    <t>Contract began in FY25 and continues until completion, the total original contract amount was $35,000.00 to be used over the course of the contract. Above grant award total was the anticipated budgeted amount for FY25. The overdrawn funds for FY25 will be pulled from the remaining fund balance.</t>
  </si>
  <si>
    <t>N/A</t>
  </si>
  <si>
    <t>Project was stale for a portion of the year due to staffing changes within the locailities. Unable to fully expend.</t>
  </si>
  <si>
    <t>Loss of service provider, some funds that were awarded have an expiration date past FY24. Remaining ARPA funds will be utilized by 9/30/25. The remaining federal funds will be used through continued implementation of new programs that began in FY25.</t>
  </si>
  <si>
    <t>Some funds that were awarded have an expiration date past FY25</t>
  </si>
  <si>
    <t>Grant funds were expended prior to the start of FY25.</t>
  </si>
  <si>
    <t>Program Oversight, Monitoring, Assessment, and Case Management</t>
  </si>
  <si>
    <t>Barbara Boylan, RN - CAPABLE Program</t>
  </si>
  <si>
    <t>Carrie Morgenson, OT - CAPABLE Program</t>
  </si>
  <si>
    <t>Heather Dunn, RN - CAPABLE Program</t>
  </si>
  <si>
    <t>Stephanie Riley, RN - CAPABLE Program</t>
  </si>
  <si>
    <t>Petra McCarney, OT - CAPABLE Program</t>
  </si>
  <si>
    <t>Jeanne Kennedy - Active Choices Program</t>
  </si>
  <si>
    <t>NSIP 10/1/24 to 6/30/25</t>
  </si>
  <si>
    <t>NSIP 7/1/24 to 9/30/24</t>
  </si>
  <si>
    <t>MIPPA SHIP 7/1/24 to 8/31/24</t>
  </si>
  <si>
    <t>MIPPA SHIP 9/1/24 to 6/30/25</t>
  </si>
  <si>
    <t>MIPPA AAA 7/1/24 to 8/31/24</t>
  </si>
  <si>
    <t>MIPPA ADRC 7/1/24 to 8/31/24</t>
  </si>
  <si>
    <t>MIPPA ADRC 9/30/24 to 6/30/25</t>
  </si>
  <si>
    <t>MIPPA AAA 9/30/24 to 6/30/25</t>
  </si>
  <si>
    <t>All funds were not expended for the program. Funds do not carry forward.</t>
  </si>
  <si>
    <t xml:space="preserve">Unexpended funds account for .03% of total budget.  </t>
  </si>
  <si>
    <t>Disaster Preparedness</t>
  </si>
  <si>
    <t>The goal of this program was to ensure senior centers and nutrition sites are prepared for disaster emergencies</t>
  </si>
  <si>
    <t xml:space="preserve">Staff assisted the City of Taylorsville and UofL Health with the construction of a UL Health Clinic in Taylorsville.  Staff assisted with the CDBG application, public meetings, income surveys and eClearinghouse to renovate the existing building.  The grant was awarded and KIPDA adminstered the funds.  Project is closed-out.  </t>
  </si>
  <si>
    <t xml:space="preserve">KIPDA was awarded a $1.5 million Brownfields Assessment Coalition Grant from the U.S. Environmental Protection Agency. KIPDA is the lead member of the coalition, which also includes the City of Shepherdsville and Shelby Main Street Foundation, Inc. The grant will be used to assess brownfields across the region. A brownfield is any property that is or may be contaminated by a hazardous substance </t>
  </si>
  <si>
    <r>
      <rPr>
        <sz val="11"/>
        <rFont val="Calibri"/>
        <family val="2"/>
        <scheme val="minor"/>
      </rPr>
      <t>Staff assisted the City of Louisville and Elderserve with the CDBG, public meetings, income surveys and eClearinghouse to renovate the existing building. The grant was awarded and KIPDA is administering the funds.</t>
    </r>
    <r>
      <rPr>
        <sz val="11"/>
        <color rgb="FFFF0000"/>
        <rFont val="Calibri"/>
        <family val="2"/>
        <scheme val="minor"/>
      </rPr>
      <t xml:space="preserve">   </t>
    </r>
    <r>
      <rPr>
        <sz val="11"/>
        <rFont val="Calibri"/>
        <family val="2"/>
        <scheme val="minor"/>
      </rPr>
      <t xml:space="preserve">The project has been closed out and all funds expended.  </t>
    </r>
  </si>
  <si>
    <r>
      <rPr>
        <sz val="11"/>
        <rFont val="Calibri"/>
        <family val="2"/>
        <scheme val="minor"/>
      </rPr>
      <t xml:space="preserve">Staff assisted the Henry County Fiscal Court with the CDBG and EDA Applications, public meetings, income surveys and eClearinghouse to provide sanitary sewer service to the proposed Angel’s Envy Distillery located between Campbellsburg and New Castle in Henry County  . The grant was awarded and KIPDA is administering the funds. </t>
    </r>
    <r>
      <rPr>
        <sz val="11"/>
        <color rgb="FFFF0000"/>
        <rFont val="Calibri"/>
        <family val="2"/>
        <scheme val="minor"/>
      </rPr>
      <t xml:space="preserve"> </t>
    </r>
  </si>
  <si>
    <r>
      <rPr>
        <sz val="11"/>
        <rFont val="Calibri"/>
        <family val="2"/>
        <scheme val="minor"/>
      </rPr>
      <t>Staff assisted the Haven Ministies with the CDBG, public meetings, income surveys and eClearinghouse to renovate the existing building. The grant was awarded and KIPDA is administering the funds</t>
    </r>
    <r>
      <rPr>
        <sz val="11"/>
        <color rgb="FFFF0000"/>
        <rFont val="Calibri"/>
        <family val="2"/>
        <scheme val="minor"/>
      </rPr>
      <t>.</t>
    </r>
  </si>
  <si>
    <r>
      <rPr>
        <sz val="11"/>
        <rFont val="Calibri"/>
        <family val="2"/>
        <scheme val="minor"/>
      </rPr>
      <t>Staff assisted the Henry County Fiscal Court with the CDBG and EDA Applications, public meetings, income surveys and eClearinghouse to provide sanitary sewer service to the proposed Angel’s Envy Distillery located between Campbellsburg and New Castle in Henry County  . The grant was awarded and KIPDA is administering the funds</t>
    </r>
    <r>
      <rPr>
        <sz val="11"/>
        <color rgb="FFFF0000"/>
        <rFont val="Calibri"/>
        <family val="2"/>
        <scheme val="minor"/>
      </rPr>
      <t xml:space="preserve">.  </t>
    </r>
  </si>
  <si>
    <t xml:space="preserve">The project constructed a permanent pump station for the removal of flood waters within the levee system that was originally constructed in 1966.Phase 1 is complete and Phase II is about to begin.  </t>
  </si>
  <si>
    <t xml:space="preserve">Staff assisted the City of Shepherdsville with the SRF and EDA Applications, public meetings, and eClearinghouse to provide anupgrade to its existing wastewater treatment capacity to 18 million gallons per day to meet projected residential and commercial need, spur economic development, and mitigate impacts from severe weather events on wastewater 
collection and treatment.. The grant was awarded and KIPDA is administering the project.  </t>
  </si>
  <si>
    <t xml:space="preserve">Staff assisted the City of Shepherdsville with the SRF and EDA Applications, public meetings, and eClearinghouse to provide anupgrade to its existing wastewater treatment capacity to 18 million gallons per day to meet projected residential and commercial need, spur economic development, and mitigate impacts from severe weather events on wastewater </t>
  </si>
  <si>
    <t xml:space="preserve">The Spencer County Sanitation District is  developing a public sanitary sewer collection and treatment system to provide service to unincorporated areas of Spencer County.  Staff is assisting with administering the Line Item Grant funds.  </t>
  </si>
  <si>
    <r>
      <rPr>
        <sz val="11"/>
        <rFont val="Calibri"/>
        <family val="2"/>
        <scheme val="minor"/>
      </rPr>
      <t xml:space="preserve">KIPDA staff led the planning process and revisions for the annual update to the KIPDA Regional Comprehensive Economic Development Strategy (CEDS) document. The CEDS is a CEDS is a strategy-driven plan for regional economic development. Updates were made to demographics, projects and new and expanding industries.                                                            Staff meets with local officials and new or exising business to discuss project development and potential funding opportunities. </t>
    </r>
    <r>
      <rPr>
        <sz val="11"/>
        <color rgb="FFFF0000"/>
        <rFont val="Calibri"/>
        <family val="2"/>
        <scheme val="minor"/>
      </rPr>
      <t xml:space="preserve">
                                                    </t>
    </r>
  </si>
  <si>
    <r>
      <rPr>
        <sz val="11"/>
        <rFont val="Calibri"/>
        <family val="2"/>
        <scheme val="minor"/>
      </rPr>
      <t>KIPDA staff provides five certified CDBG grant administrators to local units of government in the region.</t>
    </r>
    <r>
      <rPr>
        <sz val="11"/>
        <color rgb="FFFF0000"/>
        <rFont val="Calibri"/>
        <family val="2"/>
        <scheme val="minor"/>
      </rPr>
      <t xml:space="preserve">
</t>
    </r>
    <r>
      <rPr>
        <sz val="11"/>
        <rFont val="Calibri"/>
        <family val="2"/>
        <scheme val="minor"/>
      </rPr>
      <t>Staff meets regularly with communities to describe the funding availability and outline program requirements. Working with the communities, KIPDA staff determines if their projects eligibility by seeing if it meet program requirements, including but not limited to national objectives, thresholds, and LMI beneficiaries.</t>
    </r>
    <r>
      <rPr>
        <sz val="11"/>
        <color rgb="FFFF0000"/>
        <rFont val="Calibri"/>
        <family val="2"/>
        <scheme val="minor"/>
      </rPr>
      <t xml:space="preserve"> 
</t>
    </r>
    <r>
      <rPr>
        <sz val="11"/>
        <rFont val="Calibri"/>
        <family val="2"/>
        <scheme val="minor"/>
      </rPr>
      <t>Staff provides direct development services to communities in the development and preparation of eligible projects. Staff prepares the application and all planning required to meet the program requirements. This includes, but again not limited to, citizen participation, individual surveys, environmental</t>
    </r>
    <r>
      <rPr>
        <sz val="11"/>
        <color rgb="FFFF0000"/>
        <rFont val="Calibri"/>
        <family val="2"/>
        <scheme val="minor"/>
      </rPr>
      <t xml:space="preserve"> </t>
    </r>
    <r>
      <rPr>
        <sz val="11"/>
        <rFont val="Calibri"/>
        <family val="2"/>
        <scheme val="minor"/>
      </rPr>
      <t>release, cost estimates, resolutions, and advertisements</t>
    </r>
    <r>
      <rPr>
        <sz val="11"/>
        <color rgb="FFFF0000"/>
        <rFont val="Calibri"/>
        <family val="2"/>
        <scheme val="minor"/>
      </rPr>
      <t xml:space="preserve">. 
                             </t>
    </r>
  </si>
  <si>
    <r>
      <rPr>
        <sz val="11"/>
        <rFont val="Calibri"/>
        <family val="2"/>
        <scheme val="minor"/>
      </rPr>
      <t xml:space="preserve">KIPDA’s Public Administration Division houses five experienced professionals, four with master's degrees in urban planning. Staff are available to provide assistance to all units of government within the region and work with multiple boards and non-profits.           
KIPDA staff offered technical assistance on over 100 projects, helping bring $447 million in investment to our community. 
 KIPDA staff hosts and facilitates the KIPDA Municipal Clerks’ Association, KIPDA Regional Planning Council, and the Regional Hazard Mitigation Council. Staff facilitates the KIPDA Board of Directors’ monthly meetings. The staff are responsible for preparing the agenda, recording minutes, and transmitting all information to the Board and invited guests.   KIPDA staff secures and hosts training courses to provide continuing education opportunities to people across the Region. Trainings included: Tax Rate Calculation for Cities and SPGEs, Records Retention, HB 55 Planning Commissioners Training, Open Records and Open Meetings, Overtime Rules and Regulation, Codification of Statutes for Clerks, PVA Tax Training, KHC Training, County Budget Workshop, KAMM Regional Training, SPGE financial Disclosure Training, and SPGE Tax Rate Calculation.  
To provide transparency and share information, staff send a monthly newsletter and complete an annual report on agency activities. Staff also completed the annual update to the local officials’ directory. Staff also provide social media updates on division activities, grant and loan application deadlines, project announcments, etc.             </t>
    </r>
    <r>
      <rPr>
        <sz val="11"/>
        <color rgb="FFFF0000"/>
        <rFont val="Calibri"/>
        <family val="2"/>
        <scheme val="minor"/>
      </rPr>
      <t xml:space="preserve">                          
                                                                                                                                                                                                                                   </t>
    </r>
  </si>
  <si>
    <t xml:space="preserve">The Water Management Coordinator for KIPDA supports the region’s water and wastewater systems in partnership with the Kentucky Infrastructure Authority (KIA). Quarterly council meetings are held in January, April, July, and October. Each spring, the coordinator conducts system visits to review and update WRIS Portal data and assist with project planning. They also create and maintain water and wastewater project profiles, ensuring all information meets KIA requirements.
The coordinator submits quarterly reports to KIA and attends all related meetings on data collection, asset management, and quality control. Staff also hold County Water Management Council meetings each September to assess county infrastructure needs and rank projects. These rankings form the basis of KIPDA’s regional priority list. Additional duties include keeping system and project data current, maintaining asset inventories, and accurately documenting financial information. The coordinator also works with utilities, KIA, and the Kentucky Division of Water on State Revolving Fund (SRF) loan applications so eligible systems meet deadlines and have support with required paperwork. </t>
  </si>
  <si>
    <t xml:space="preserve">These funds require a large share of non-federal match and therefore spending is cautious. Also contributing to the underspending is the  ability to carryover these funds in Indiana. Due to some changes in how the non-federal match is structured in Kentucky, underspending in FY 2026 should improve. Another notable cause of underspending is a large underspend under a Louisville Metro contract.  </t>
  </si>
  <si>
    <t xml:space="preserve">Ridership in this program remains low after the COVID-19 Pandemic. Relatively low ridership has ccreated a situation where the program has not needed to purchase new vehicles for multiple years.  The purchase of replacement vehicles is typically the largest expense of this program and unexpended funds will occur until new vehicles are purchased. The program's federal funding (from the KIPDA Transportation Policy Committee) was cut by a small amount recently and further cuts are likely in future years depending on ridership levels and the need for new vehicles. </t>
  </si>
  <si>
    <t>Multi-year Obligated Funds carryover to FY26. Project is now complete.</t>
  </si>
  <si>
    <t>Multi-year Obligated Funds carryover to FY26. Program expenditures have been paused since early 2025 as further guidance from the Federal Railroad Administration is needed in order to proceed.</t>
  </si>
  <si>
    <t>Metropolitan Transportation Planning for development, management, and operation of surface transportation systems in the Louisville Urbanized Area, including maintenance of the MTP, the TIP and the administration of  dedicated federal funding to the region.</t>
  </si>
  <si>
    <t>Administration of the preliminary planning phase of a Federal Railroad Administration grant that is examining the viability of passenger rail between Louisivlle and Chicago.</t>
  </si>
  <si>
    <t>Net change in Reserves for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</si>
</sst>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9"/>
      <color indexed="81"/>
      <name val="Tahoma"/>
      <family val="2"/>
    </font>
    <font>
      <sz val="9"/>
      <color indexed="81"/>
      <name val="Tahoma"/>
      <family val="2"/>
    </font>
    <font>
      <sz val="11"/>
      <color rgb="FFFF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0" fillId="0" borderId="1" xfId="0" applyBorder="1" applyAlignment="1">
      <alignment wrapText="1"/>
    </xf>
    <xf numFmtId="44" fontId="0" fillId="0" borderId="0" xfId="2" applyFont="1"/>
    <xf numFmtId="0" fontId="2" fillId="0" borderId="0" xfId="0" applyFont="1"/>
    <xf numFmtId="44" fontId="0" fillId="0" borderId="0" xfId="2" applyFont="1" applyBorder="1"/>
    <xf numFmtId="44" fontId="3" fillId="0" borderId="1" xfId="2" applyFont="1" applyBorder="1" applyAlignment="1">
      <alignment horizontal="center" wrapText="1"/>
    </xf>
    <xf numFmtId="0" fontId="3" fillId="0" borderId="0" xfId="0" applyFont="1"/>
    <xf numFmtId="0" fontId="3" fillId="0" borderId="9" xfId="0" applyFont="1" applyBorder="1"/>
    <xf numFmtId="0" fontId="4" fillId="0" borderId="5" xfId="0" applyFont="1" applyBorder="1" applyAlignment="1">
      <alignment horizontal="center" wrapText="1"/>
    </xf>
    <xf numFmtId="44" fontId="3" fillId="0" borderId="1" xfId="2" applyFont="1" applyFill="1" applyBorder="1"/>
    <xf numFmtId="44" fontId="3" fillId="2" borderId="1" xfId="2" applyFont="1" applyFill="1" applyBorder="1"/>
    <xf numFmtId="10" fontId="3" fillId="0" borderId="1" xfId="3" applyNumberFormat="1" applyFont="1" applyBorder="1"/>
    <xf numFmtId="44" fontId="3" fillId="0" borderId="1" xfId="2" applyFont="1" applyBorder="1"/>
    <xf numFmtId="165" fontId="0" fillId="0" borderId="2" xfId="2" applyNumberFormat="1" applyFont="1" applyBorder="1"/>
    <xf numFmtId="164" fontId="1" fillId="3" borderId="1" xfId="1" applyNumberFormat="1" applyFont="1" applyFill="1" applyBorder="1"/>
    <xf numFmtId="0" fontId="7" fillId="0" borderId="0" xfId="0" applyFont="1"/>
    <xf numFmtId="0" fontId="7" fillId="0" borderId="1" xfId="0" applyFont="1" applyBorder="1" applyAlignment="1">
      <alignment horizontal="left" vertical="top" wrapText="1"/>
    </xf>
    <xf numFmtId="0" fontId="7" fillId="0" borderId="0" xfId="0" applyFont="1" applyAlignment="1">
      <alignment horizontal="left" vertical="top"/>
    </xf>
    <xf numFmtId="0" fontId="7" fillId="4" borderId="0" xfId="0" applyFont="1" applyFill="1" applyAlignment="1">
      <alignment horizontal="left" vertical="top"/>
    </xf>
    <xf numFmtId="0" fontId="7" fillId="0" borderId="1" xfId="0" applyFont="1" applyBorder="1" applyAlignment="1">
      <alignment horizontal="left" vertical="top"/>
    </xf>
    <xf numFmtId="0" fontId="4" fillId="0" borderId="0" xfId="0" applyFont="1" applyAlignment="1">
      <alignment horizontal="center" vertical="top"/>
    </xf>
    <xf numFmtId="0" fontId="3" fillId="0" borderId="0" xfId="0" applyFont="1" applyAlignment="1">
      <alignment horizontal="center"/>
    </xf>
    <xf numFmtId="0" fontId="4" fillId="0" borderId="7" xfId="0" applyFont="1" applyBorder="1" applyAlignment="1">
      <alignment horizontal="center" vertical="top" wrapText="1"/>
    </xf>
    <xf numFmtId="0" fontId="3" fillId="0" borderId="8" xfId="0" applyFont="1" applyBorder="1"/>
    <xf numFmtId="0" fontId="4" fillId="0" borderId="5" xfId="0" applyFont="1" applyBorder="1" applyAlignment="1">
      <alignment horizontal="center" vertical="top" wrapText="1"/>
    </xf>
    <xf numFmtId="0" fontId="4" fillId="0" borderId="1" xfId="2" applyNumberFormat="1" applyFont="1" applyBorder="1" applyAlignment="1">
      <alignment horizontal="center" vertical="top" wrapText="1"/>
    </xf>
    <xf numFmtId="0" fontId="4" fillId="0" borderId="1" xfId="2" applyNumberFormat="1" applyFont="1" applyFill="1" applyBorder="1" applyAlignment="1">
      <alignment horizontal="center" vertical="top" wrapText="1"/>
    </xf>
    <xf numFmtId="0" fontId="4" fillId="0" borderId="1" xfId="3" applyNumberFormat="1" applyFont="1" applyBorder="1" applyAlignment="1">
      <alignment horizontal="center" vertical="top" wrapText="1"/>
    </xf>
    <xf numFmtId="0" fontId="4" fillId="0" borderId="1" xfId="0" applyFont="1" applyBorder="1" applyAlignment="1">
      <alignment horizontal="center" vertical="top" wrapText="1"/>
    </xf>
    <xf numFmtId="0" fontId="4" fillId="4" borderId="0" xfId="0" applyFont="1" applyFill="1" applyAlignment="1">
      <alignment horizontal="center" vertical="top"/>
    </xf>
    <xf numFmtId="0" fontId="4" fillId="0" borderId="1" xfId="0" applyFont="1" applyBorder="1" applyAlignment="1">
      <alignment horizontal="center" vertical="top"/>
    </xf>
    <xf numFmtId="44" fontId="3" fillId="0" borderId="1" xfId="2" applyFont="1" applyFill="1" applyBorder="1" applyAlignment="1">
      <alignment horizontal="center" wrapText="1"/>
    </xf>
    <xf numFmtId="44" fontId="3" fillId="0" borderId="0" xfId="0" applyNumberFormat="1" applyFont="1"/>
    <xf numFmtId="44" fontId="3" fillId="0" borderId="5" xfId="2" applyFont="1" applyBorder="1"/>
    <xf numFmtId="0" fontId="8" fillId="0" borderId="0" xfId="0" applyFont="1"/>
    <xf numFmtId="0" fontId="3" fillId="0" borderId="0" xfId="0" applyFont="1" applyAlignment="1">
      <alignment horizontal="left" vertical="top"/>
    </xf>
    <xf numFmtId="0" fontId="3" fillId="0" borderId="1" xfId="0" applyFont="1" applyBorder="1" applyAlignment="1">
      <alignment horizontal="left" vertical="top" wrapText="1"/>
    </xf>
    <xf numFmtId="0" fontId="3" fillId="4" borderId="0" xfId="0" applyFont="1" applyFill="1" applyAlignment="1">
      <alignment horizontal="left" vertical="top"/>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3" fillId="0" borderId="8" xfId="0" applyFont="1" applyBorder="1" applyAlignment="1">
      <alignment horizontal="center"/>
    </xf>
    <xf numFmtId="0" fontId="3" fillId="0" borderId="9" xfId="0" applyFont="1" applyBorder="1" applyAlignment="1">
      <alignment horizontal="center"/>
    </xf>
    <xf numFmtId="0" fontId="4" fillId="0" borderId="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7" fillId="0" borderId="10" xfId="0" applyFont="1" applyBorder="1" applyAlignment="1">
      <alignment horizontal="left" vertical="top" wrapText="1"/>
    </xf>
    <xf numFmtId="0" fontId="7" fillId="0" borderId="6" xfId="0" applyFont="1" applyBorder="1" applyAlignment="1">
      <alignment horizontal="left" vertical="top" wrapText="1"/>
    </xf>
    <xf numFmtId="44" fontId="3" fillId="0" borderId="1" xfId="0" applyNumberFormat="1" applyFont="1" applyBorder="1" applyAlignment="1">
      <alignment horizontal="left" vertical="top" wrapText="1"/>
    </xf>
    <xf numFmtId="44" fontId="3" fillId="4" borderId="0" xfId="0" applyNumberFormat="1" applyFont="1" applyFill="1" applyAlignment="1">
      <alignment horizontal="left" vertical="top"/>
    </xf>
    <xf numFmtId="0" fontId="3" fillId="0" borderId="0" xfId="0" applyFont="1" applyAlignment="1">
      <alignment horizontal="left" vertical="top" wrapText="1"/>
    </xf>
    <xf numFmtId="41" fontId="3" fillId="0" borderId="1" xfId="0" applyNumberFormat="1" applyFont="1" applyBorder="1" applyAlignment="1">
      <alignment horizontal="left" vertical="top"/>
    </xf>
    <xf numFmtId="41" fontId="3" fillId="0" borderId="1" xfId="0" applyNumberFormat="1"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2" fillId="0" borderId="0" xfId="0" applyFont="1" applyAlignment="1">
      <alignment horizontal="center"/>
    </xf>
    <xf numFmtId="164" fontId="1" fillId="0" borderId="1" xfId="1" applyNumberFormat="1" applyFont="1" applyFill="1" applyBorder="1"/>
  </cellXfs>
  <cellStyles count="4">
    <cellStyle name="Comma" xfId="1" builtinId="3"/>
    <cellStyle name="Currency 2" xfId="2" xr:uid="{30375103-DEAB-4939-860E-6DC6C88994D2}"/>
    <cellStyle name="Normal" xfId="0" builtinId="0"/>
    <cellStyle name="Percent 2" xfId="3" xr:uid="{27E69230-80D6-485F-824B-5EC1E6BBAE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styles" Target="style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FY%202025%20Aging%20Financial\DAIL%20Invoices\III%20B%20Invoice%20FY25-Revised%209.4.24.xlsx" TargetMode="External"/><Relationship Id="rId1" Type="http://schemas.openxmlformats.org/officeDocument/2006/relationships/externalLinkPath" Target="file:///I:\FY%202025%20Aging%20Financial\DAIL%20Invoices\III%20B%20Invoice%20FY25-Revised%209.4.24.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I:\FY%202025%20Aging%20Financial\DAIL%20Invoices\KYCG%20Invoice%20FY25.xlsx" TargetMode="External"/><Relationship Id="rId1" Type="http://schemas.openxmlformats.org/officeDocument/2006/relationships/externalLinkPath" Target="file:///I:\FY%202025%20Aging%20Financial\DAIL%20Invoices\KYCG%20Invoice%20FY25.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I:\FY%202025%20Aging%20Financial\DAIL%20Invoices\SLTCO%20Invoice%20FY25.xlsx" TargetMode="External"/><Relationship Id="rId1" Type="http://schemas.openxmlformats.org/officeDocument/2006/relationships/externalLinkPath" Target="file:///I:\FY%202025%20Aging%20Financial\DAIL%20Invoices\SLTCO%20Invoice%20FY25.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I:\FY%202025%20Aging%20Financial\DAIL%20Invoices\Homecare%20Invoice%20FY25-Revised%208.30.24%20TLS.xlsx" TargetMode="External"/><Relationship Id="rId1" Type="http://schemas.openxmlformats.org/officeDocument/2006/relationships/externalLinkPath" Target="file:///I:\FY%202025%20Aging%20Financial\DAIL%20Invoices\Homecare%20Invoice%20FY25-Revised%208.30.24%20TLS.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I:\FY%202025%20Aging%20Financial\DAIL%20Invoices\SHIP%20Invoice%20FY25.xlsx" TargetMode="External"/><Relationship Id="rId1" Type="http://schemas.openxmlformats.org/officeDocument/2006/relationships/externalLinkPath" Target="file:///I:\FY%202025%20Aging%20Financial\DAIL%20Invoices\SHIP%20Invoice%20FY25.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I:\FY%202024%20Aging%20Financial\DAIL%20Invoices\MIPPA%20SHIP%20Invoice%20FY24.xlsx" TargetMode="External"/><Relationship Id="rId1" Type="http://schemas.openxmlformats.org/officeDocument/2006/relationships/externalLinkPath" Target="file:///I:\FY%202024%20Aging%20Financial\DAIL%20Invoices\MIPPA%20SHIP%20Invoice%20FY24.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I:\FY%202025%20Aging%20Financial\DAIL%20Invoices\MIPPA%20SHIP%20Invoice%20FY25.xlsx" TargetMode="External"/><Relationship Id="rId1" Type="http://schemas.openxmlformats.org/officeDocument/2006/relationships/externalLinkPath" Target="file:///I:\FY%202025%20Aging%20Financial\DAIL%20Invoices\MIPPA%20SHIP%20Invoice%20FY25.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I:\FY%202024%20Aging%20Financial\DAIL%20Invoices\MIPPA%20AAA%20Invoice%20FY24.xlsx" TargetMode="External"/><Relationship Id="rId1" Type="http://schemas.openxmlformats.org/officeDocument/2006/relationships/externalLinkPath" Target="file:///I:\FY%202024%20Aging%20Financial\DAIL%20Invoices\MIPPA%20AAA%20Invoice%20FY24.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I:\FY%202025%20Aging%20Financial\DAIL%20Invoices\MIPPA%20AAA%20Invoice%20FY25.xlsx" TargetMode="External"/><Relationship Id="rId1" Type="http://schemas.openxmlformats.org/officeDocument/2006/relationships/externalLinkPath" Target="file:///I:\FY%202025%20Aging%20Financial\DAIL%20Invoices\MIPPA%20AAA%20Invoice%20FY25.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I:\FY%202024%20Aging%20Financial\DAIL%20Invoices\MIPPA%20ADRC%20Invoice%20FY24.xlsx" TargetMode="External"/><Relationship Id="rId1" Type="http://schemas.openxmlformats.org/officeDocument/2006/relationships/externalLinkPath" Target="file:///I:\FY%202024%20Aging%20Financial\DAIL%20Invoices\MIPPA%20ADRC%20Invoice%20FY24.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I:\FY%202025%20Aging%20Financial\DAIL%20Invoices\MIPPA%20ADRC%20Invoice%20FY25.xlsx" TargetMode="External"/><Relationship Id="rId1" Type="http://schemas.openxmlformats.org/officeDocument/2006/relationships/externalLinkPath" Target="file:///I:\FY%202025%20Aging%20Financial\DAIL%20Invoices\MIPPA%20ADRC%20Invoice%20FY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I:\FY%202025%20Aging%20Financial\DAIL%20Invoices\III%20B%20Omb%20Invoice%20FY25.xlsx" TargetMode="External"/><Relationship Id="rId1" Type="http://schemas.openxmlformats.org/officeDocument/2006/relationships/externalLinkPath" Target="file:///I:\FY%202025%20Aging%20Financial\DAIL%20Invoices\III%20B%20Omb%20Invoice%20FY25.xlsx"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I:\FY%202025%20Aging%20Financial\DAIL%20Invoices\Medicaid%20ADRC%20Invoice%20FY25.xlsx" TargetMode="External"/><Relationship Id="rId1" Type="http://schemas.openxmlformats.org/officeDocument/2006/relationships/externalLinkPath" Target="file:///I:\FY%202025%20Aging%20Financial\DAIL%20Invoices\Medicaid%20ADRC%20Invoice%20FY25.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I:\FY%202025%20Aging%20Financial\DAIL%20Invoices\ESMP%20Invoice%20FY25.xlsx" TargetMode="External"/><Relationship Id="rId1" Type="http://schemas.openxmlformats.org/officeDocument/2006/relationships/externalLinkPath" Target="file:///I:\FY%202025%20Aging%20Financial\DAIL%20Invoices\ESMP%20Invoice%20FY25.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I:\FY%202025%20Aging%20Financial\DAIL%20Invoices\INNU%20Invoice%20FY25.xlsx" TargetMode="External"/><Relationship Id="rId1" Type="http://schemas.openxmlformats.org/officeDocument/2006/relationships/externalLinkPath" Target="file:///I:\FY%202025%20Aging%20Financial\DAIL%20Invoices\INNU%20Invoice%20FY25.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I:\FY%202025%20Aging%20Financial\DAIL%20Invoices\FY25%20Disaster%20Preparedness%20Inovice.xlsx" TargetMode="External"/><Relationship Id="rId1" Type="http://schemas.openxmlformats.org/officeDocument/2006/relationships/externalLinkPath" Target="file:///I:\FY%202025%20Aging%20Financial\DAIL%20Invoices\FY25%20Disaster%20Preparedness%20Inovice.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I:\FY%202025%20Aging%20Financial\DAIL%20Invoices\III%20C1%20Invoice%20FY25.xlsx" TargetMode="External"/><Relationship Id="rId1" Type="http://schemas.openxmlformats.org/officeDocument/2006/relationships/externalLinkPath" Target="file:///I:\FY%202025%20Aging%20Financial\DAIL%20Invoices\III%20C1%20Invoice%20FY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I:\FY%202025%20Aging%20Financial\DAIL%20Invoices\III%20C2%20Invoice%20FY25.xlsx" TargetMode="External"/><Relationship Id="rId1" Type="http://schemas.openxmlformats.org/officeDocument/2006/relationships/externalLinkPath" Target="file:///I:\FY%202025%20Aging%20Financial\DAIL%20Invoices\III%20C2%20Invoice%20FY2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I:\FY%202025%20Aging%20Financial\DAIL%20Invoices\III%20D%20Invoice%20FY25-Revised%20TLS%202.19.25.xlsx" TargetMode="External"/><Relationship Id="rId1" Type="http://schemas.openxmlformats.org/officeDocument/2006/relationships/externalLinkPath" Target="file:///I:\FY%202025%20Aging%20Financial\DAIL%20Invoices\III%20D%20Invoice%20FY25-Revised%20TLS%202.19.25.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I:\FY%202025%20Aging%20Financial\DAIL%20Invoices\III%20E%20Invoice%20FY25.xlsx" TargetMode="External"/><Relationship Id="rId1" Type="http://schemas.openxmlformats.org/officeDocument/2006/relationships/externalLinkPath" Target="file:///I:\FY%202025%20Aging%20Financial\DAIL%20Invoices\III%20E%20Invoice%20FY25.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I:\FY%202025%20Aging%20Financial\DAIL%20Invoices\VII%20EA%20Invoice%20FY25.xlsx" TargetMode="External"/><Relationship Id="rId1" Type="http://schemas.openxmlformats.org/officeDocument/2006/relationships/externalLinkPath" Target="file:///I:\FY%202025%20Aging%20Financial\DAIL%20Invoices\VII%20EA%20Invoice%20FY25.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I:\FY%202025%20Aging%20Financial\DAIL%20Invoices\VII%20OMB%20Invoice%20FY25.xlsx" TargetMode="External"/><Relationship Id="rId1" Type="http://schemas.openxmlformats.org/officeDocument/2006/relationships/externalLinkPath" Target="file:///I:\FY%202025%20Aging%20Financial\DAIL%20Invoices\VII%20OMB%20Invoice%20FY25.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I:\FY%202025%20Aging%20Financial\DAIL%20Invoices\NSIP%20Invoice%20FY25.xlsx" TargetMode="External"/><Relationship Id="rId1" Type="http://schemas.openxmlformats.org/officeDocument/2006/relationships/externalLinkPath" Target="file:///I:\FY%202025%20Aging%20Financial\DAIL%20Invoices\NSIP%20Invoice%20F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IB July"/>
      <sheetName val="IIIB Aug"/>
      <sheetName val="IIIB Sept"/>
      <sheetName val="IIIB Oct"/>
      <sheetName val="IIIB Nov"/>
      <sheetName val="IIIB Dec"/>
      <sheetName val="IIIB Jan"/>
      <sheetName val="IIIB Feb"/>
      <sheetName val="IIIB Mar"/>
      <sheetName val="IIIB Apr"/>
      <sheetName val="IIIB May"/>
      <sheetName val="IIIB June-Final"/>
      <sheetName val="IIIB June-Audited"/>
      <sheetName val="ADD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D15">
            <v>25053.26</v>
          </cell>
        </row>
        <row r="16">
          <cell r="D16">
            <v>106550.87999999998</v>
          </cell>
          <cell r="E16">
            <v>117018.60999999999</v>
          </cell>
        </row>
        <row r="53">
          <cell r="D53">
            <v>28925.759999999998</v>
          </cell>
        </row>
        <row r="67">
          <cell r="D67">
            <v>1161953.57</v>
          </cell>
          <cell r="E67">
            <v>1882528</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YCG July"/>
      <sheetName val="KYCG Aug"/>
      <sheetName val="KYCG Sept"/>
      <sheetName val="KYCG Oct"/>
      <sheetName val="KYCG Nov"/>
      <sheetName val="KYCG Dec"/>
      <sheetName val="KYCG Jan"/>
      <sheetName val="KYCG Feb"/>
      <sheetName val="KYCG Mar"/>
      <sheetName val="KYCG Apr"/>
      <sheetName val="KYCG May"/>
      <sheetName val="KYCG June-Final"/>
      <sheetName val="KYCG June-Audited"/>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D15">
            <v>4708.9799999999996</v>
          </cell>
        </row>
        <row r="16">
          <cell r="D16">
            <v>19399.489999999998</v>
          </cell>
        </row>
        <row r="26">
          <cell r="E26">
            <v>19325</v>
          </cell>
        </row>
        <row r="48">
          <cell r="D48">
            <v>28365.16</v>
          </cell>
        </row>
        <row r="49">
          <cell r="D49">
            <v>268218.81</v>
          </cell>
          <cell r="E49">
            <v>274248</v>
          </cell>
        </row>
      </sheetData>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SLTCO Jul"/>
      <sheetName val="SLTCO Aug"/>
      <sheetName val="SLTCO Sept"/>
      <sheetName val="SLTCO Oct"/>
      <sheetName val="SLTCO Nov"/>
      <sheetName val="SLTCO Dec"/>
      <sheetName val="SLTCO Jan"/>
      <sheetName val="SLTCO Feb"/>
      <sheetName val="SLTCO Mar"/>
      <sheetName val="SLTCO Apr"/>
      <sheetName val="SLTCO May"/>
      <sheetName val="SLTCO June-Est"/>
      <sheetName val="SLTCO June-Final"/>
      <sheetName val="SLTCO June-Audited"/>
      <sheetName val="Payment Requ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6">
          <cell r="E16">
            <v>298204.46999999997</v>
          </cell>
        </row>
        <row r="26">
          <cell r="D26">
            <v>298204.44</v>
          </cell>
        </row>
      </sheetData>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HC July"/>
      <sheetName val="HC Aug"/>
      <sheetName val="HC Sept"/>
      <sheetName val="HC Oct"/>
      <sheetName val="HC Nov"/>
      <sheetName val="HC Dec"/>
      <sheetName val="HC Jan"/>
      <sheetName val="HC Feb"/>
      <sheetName val="HC Mar"/>
      <sheetName val="HC Apr"/>
      <sheetName val="HC May"/>
      <sheetName val="HC June-Est"/>
      <sheetName val="HC June-Final"/>
      <sheetName val="HC June-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5">
          <cell r="D15">
            <v>85566.959999999992</v>
          </cell>
        </row>
        <row r="16">
          <cell r="D16">
            <v>369910.31000000006</v>
          </cell>
          <cell r="E16">
            <v>370760</v>
          </cell>
        </row>
        <row r="49">
          <cell r="D49">
            <v>211808.9</v>
          </cell>
        </row>
        <row r="56">
          <cell r="D56">
            <v>2456077</v>
          </cell>
          <cell r="E56">
            <v>2456077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IP July"/>
      <sheetName val="SHIP August"/>
      <sheetName val="SHIP September"/>
      <sheetName val="SHIP October"/>
      <sheetName val="SHIP November"/>
      <sheetName val="SHIP December"/>
      <sheetName val="SHIP January"/>
      <sheetName val="SHIP February"/>
      <sheetName val="SHIP March"/>
      <sheetName val="SHIP April"/>
      <sheetName val="SHIP June Estimated"/>
      <sheetName val="SHIP May"/>
      <sheetName val="SHIP June Final"/>
      <sheetName val="SHIP June Audited"/>
      <sheetName val="AD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6">
          <cell r="D16">
            <v>1136.01</v>
          </cell>
        </row>
        <row r="17">
          <cell r="D17">
            <v>4689.33</v>
          </cell>
          <cell r="E17">
            <v>4664</v>
          </cell>
        </row>
        <row r="50">
          <cell r="D50">
            <v>20025.25</v>
          </cell>
        </row>
        <row r="51">
          <cell r="D51">
            <v>88908.59</v>
          </cell>
          <cell r="E51">
            <v>88610</v>
          </cell>
        </row>
      </sheetData>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 MIPPA SHIP September"/>
      <sheetName val=" MIPPA SHIP October"/>
      <sheetName val=" MIPPA SHIP November"/>
      <sheetName val=" MIPPA SHIP December"/>
      <sheetName val=" MIPPA SHIP January"/>
      <sheetName val=" MIPPA SHIP February"/>
      <sheetName val=" MIPPA SHIP March"/>
      <sheetName val=" MIPPA SHIP April"/>
      <sheetName val=" MIPPA SHIP May"/>
      <sheetName val=" MIPPA SHIP June"/>
      <sheetName val=" MIPPA SHIP July"/>
      <sheetName val=" MIPPA SHIP August "/>
      <sheetName val=" MIPPA SHIP August Final"/>
    </sheetNames>
    <sheetDataSet>
      <sheetData sheetId="0"/>
      <sheetData sheetId="1"/>
      <sheetData sheetId="2"/>
      <sheetData sheetId="3"/>
      <sheetData sheetId="4"/>
      <sheetData sheetId="5"/>
      <sheetData sheetId="6"/>
      <sheetData sheetId="7"/>
      <sheetData sheetId="8"/>
      <sheetData sheetId="9"/>
      <sheetData sheetId="10">
        <row r="17">
          <cell r="D17">
            <v>6939.5</v>
          </cell>
        </row>
        <row r="28">
          <cell r="D28">
            <v>33813.97</v>
          </cell>
        </row>
      </sheetData>
      <sheetData sheetId="11">
        <row r="17">
          <cell r="C17">
            <v>123.86</v>
          </cell>
        </row>
        <row r="18">
          <cell r="C18">
            <v>440.74</v>
          </cell>
        </row>
      </sheetData>
      <sheetData sheetId="12">
        <row r="17">
          <cell r="C17">
            <v>460.15</v>
          </cell>
        </row>
        <row r="18">
          <cell r="C18">
            <v>1750.8900000000003</v>
          </cell>
        </row>
        <row r="28">
          <cell r="E28">
            <v>36023</v>
          </cell>
        </row>
      </sheetData>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 MIPPA SHIP September"/>
      <sheetName val=" MIPPA SHIP October"/>
      <sheetName val=" MIPPA SHIP November"/>
      <sheetName val=" MIPPA SHIP December"/>
      <sheetName val=" MIPPA SHIP January"/>
      <sheetName val=" MIPPA SHIP February"/>
      <sheetName val=" MIPPA SHIP March"/>
      <sheetName val=" MIPPA SHIP April"/>
      <sheetName val=" MIPPA SHIP May"/>
      <sheetName val=" MIPPA SHIP June"/>
      <sheetName val=" MIPPA SHIP July"/>
      <sheetName val=" MIPPA SHIP August "/>
      <sheetName val=" MIPPA SHIP August F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D17">
            <v>8239.81</v>
          </cell>
        </row>
        <row r="18">
          <cell r="D18">
            <v>36345.86</v>
          </cell>
          <cell r="E18">
            <v>43082</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MIPPA AAA September"/>
      <sheetName val=" MIPPA AAA October"/>
      <sheetName val=" MIPPA AAA November"/>
      <sheetName val=" MIPPA AAA December"/>
      <sheetName val=" MIPPA AAA January"/>
      <sheetName val=" MIPPA AAA February"/>
      <sheetName val=" MIPPA AAA March"/>
      <sheetName val=" MIPPA AAA April"/>
      <sheetName val=" MIPPA AAA May"/>
      <sheetName val=" MIPPA AAA June"/>
      <sheetName val=" MIPPA AAA July"/>
      <sheetName val=" MIPPA AAA August"/>
      <sheetName val=" MIPPA AAA August Final"/>
    </sheetNames>
    <sheetDataSet>
      <sheetData sheetId="0"/>
      <sheetData sheetId="1"/>
      <sheetData sheetId="2"/>
      <sheetData sheetId="3"/>
      <sheetData sheetId="4"/>
      <sheetData sheetId="5"/>
      <sheetData sheetId="6"/>
      <sheetData sheetId="7"/>
      <sheetData sheetId="8"/>
      <sheetData sheetId="9"/>
      <sheetData sheetId="10">
        <row r="18">
          <cell r="D18">
            <v>31477.649999999998</v>
          </cell>
        </row>
      </sheetData>
      <sheetData sheetId="11">
        <row r="17">
          <cell r="C17">
            <v>714.49</v>
          </cell>
        </row>
        <row r="18">
          <cell r="C18">
            <v>2542.46</v>
          </cell>
        </row>
      </sheetData>
      <sheetData sheetId="12">
        <row r="17">
          <cell r="C17">
            <v>301.77000000000004</v>
          </cell>
        </row>
        <row r="18">
          <cell r="C18">
            <v>1271.29</v>
          </cell>
        </row>
      </sheetData>
      <sheetData sheetId="13">
        <row r="18">
          <cell r="E18">
            <v>36689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MIPPA AAA September"/>
      <sheetName val=" MIPPA AAA October"/>
      <sheetName val=" MIPPA AAA November"/>
      <sheetName val=" MIPPA AAA December"/>
      <sheetName val=" MIPPA AAA January"/>
      <sheetName val=" MIPPA AAA February"/>
      <sheetName val=" MIPPA AAA March"/>
      <sheetName val=" MIPPA AAA April"/>
      <sheetName val=" MIPPA AAA May"/>
      <sheetName val=" MIPPA AAA June"/>
      <sheetName val=" MIPPA AAA July"/>
      <sheetName val=" MIPPA AAA August"/>
      <sheetName val=" MIPPA AAA August Final"/>
    </sheetNames>
    <sheetDataSet>
      <sheetData sheetId="0"/>
      <sheetData sheetId="1"/>
      <sheetData sheetId="2"/>
      <sheetData sheetId="3"/>
      <sheetData sheetId="4"/>
      <sheetData sheetId="5"/>
      <sheetData sheetId="6"/>
      <sheetData sheetId="7"/>
      <sheetData sheetId="8"/>
      <sheetData sheetId="9"/>
      <sheetData sheetId="10">
        <row r="17">
          <cell r="D17">
            <v>9785.43</v>
          </cell>
        </row>
        <row r="18">
          <cell r="D18">
            <v>42426.979999999996</v>
          </cell>
          <cell r="E18">
            <v>42802</v>
          </cell>
        </row>
      </sheetData>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 MIPPA ADRC September"/>
      <sheetName val=" MIPPA ADRC October"/>
      <sheetName val=" MIPPA ADRC November"/>
      <sheetName val=" MIPPA ADRC December"/>
      <sheetName val=" MIPPA ADRC January"/>
      <sheetName val=" MIPPA ADRC February"/>
      <sheetName val=" MIPPA ADRC March"/>
      <sheetName val=" MIPPA ADRC April"/>
      <sheetName val=" MIPPA ADRC May"/>
      <sheetName val=" MIPPA ADRC June"/>
      <sheetName val=" MIPPA ADRC July"/>
      <sheetName val=" MIPPA ADRC August"/>
      <sheetName val=" MIPPA ADRC August Final"/>
    </sheetNames>
    <sheetDataSet>
      <sheetData sheetId="0"/>
      <sheetData sheetId="1"/>
      <sheetData sheetId="2"/>
      <sheetData sheetId="3"/>
      <sheetData sheetId="4"/>
      <sheetData sheetId="5"/>
      <sheetData sheetId="6"/>
      <sheetData sheetId="7"/>
      <sheetData sheetId="8"/>
      <sheetData sheetId="9"/>
      <sheetData sheetId="10">
        <row r="17">
          <cell r="D17">
            <v>988.48</v>
          </cell>
        </row>
        <row r="24">
          <cell r="D24">
            <v>3855.3399999999997</v>
          </cell>
          <cell r="E24">
            <v>3858</v>
          </cell>
        </row>
      </sheetData>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 MIPPA ADRC September"/>
      <sheetName val=" MIPPA ADRC October"/>
      <sheetName val=" MIPPA ADRC November"/>
      <sheetName val=" MIPPA ADRC December"/>
      <sheetName val=" MIPPA ADRC January"/>
      <sheetName val=" MIPPA ADRC February"/>
      <sheetName val=" MIPPA ADRC March"/>
      <sheetName val=" MIPPA ADRC April"/>
      <sheetName val=" MIPPA ADRC May"/>
      <sheetName val=" MIPPA ADRC June"/>
      <sheetName val=" MIPPA ADRC July"/>
      <sheetName val=" MIPPA ADRC August"/>
      <sheetName val=" MIPPA ADRC August Final"/>
    </sheetNames>
    <sheetDataSet>
      <sheetData sheetId="0"/>
      <sheetData sheetId="1"/>
      <sheetData sheetId="2"/>
      <sheetData sheetId="3"/>
      <sheetData sheetId="4"/>
      <sheetData sheetId="5"/>
      <sheetData sheetId="6"/>
      <sheetData sheetId="7"/>
      <sheetData sheetId="8"/>
      <sheetData sheetId="9"/>
      <sheetData sheetId="10">
        <row r="18">
          <cell r="D18">
            <v>8026.79</v>
          </cell>
        </row>
        <row r="28">
          <cell r="E28">
            <v>9289</v>
          </cell>
        </row>
      </sheetData>
      <sheetData sheetId="11"/>
      <sheetData sheetId="12">
        <row r="17">
          <cell r="D17">
            <v>2222.56</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B OMB July"/>
      <sheetName val="B OMB Aug"/>
      <sheetName val="B OMB Sept"/>
      <sheetName val="B OMB Oct"/>
      <sheetName val="B OMB Nov"/>
      <sheetName val="B OMB Dec"/>
      <sheetName val="B OMB Jan"/>
      <sheetName val="B OMB Feb"/>
      <sheetName val="B OMB Mar"/>
      <sheetName val="B OMB Apr"/>
      <sheetName val="B OMB May"/>
      <sheetName val="B OMB June-Final"/>
      <sheetName val="B OMB June-Audited"/>
      <sheetName val="Payment Requ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9">
          <cell r="D29">
            <v>66095.340000000011</v>
          </cell>
          <cell r="E29">
            <v>96670.22</v>
          </cell>
        </row>
      </sheetData>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ADRC July"/>
      <sheetName val="ADRC August"/>
      <sheetName val="ADRC September"/>
      <sheetName val="ADRC October"/>
      <sheetName val="ADRC November"/>
      <sheetName val="ADRC December"/>
      <sheetName val="ADRC January"/>
      <sheetName val="ADRC February"/>
      <sheetName val="ADRC March"/>
      <sheetName val="ADRC April"/>
      <sheetName val="ADRC May"/>
      <sheetName val="ADRC June Est"/>
      <sheetName val="ADRC June Final"/>
      <sheetName val="ADRC June 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9">
          <cell r="G9">
            <v>160000</v>
          </cell>
        </row>
        <row r="41">
          <cell r="E41">
            <v>95270</v>
          </cell>
        </row>
      </sheetData>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MP July"/>
      <sheetName val="ESMP Aug"/>
      <sheetName val="ESMP Sept"/>
      <sheetName val="ESMP Oct"/>
      <sheetName val="ESMP Nov"/>
      <sheetName val="ESMP Dec"/>
      <sheetName val="ESMP Jan"/>
      <sheetName val="ESMP Feb"/>
      <sheetName val="ESMP Mar"/>
      <sheetName val="ESMP Apr"/>
      <sheetName val="ESMP May"/>
      <sheetName val="ESMP June-Final"/>
      <sheetName val="ESMP June-Audited"/>
      <sheetName val="ADDs"/>
    </sheetNames>
    <sheetDataSet>
      <sheetData sheetId="0"/>
      <sheetData sheetId="1"/>
      <sheetData sheetId="2"/>
      <sheetData sheetId="3"/>
      <sheetData sheetId="4"/>
      <sheetData sheetId="5"/>
      <sheetData sheetId="6"/>
      <sheetData sheetId="7"/>
      <sheetData sheetId="8"/>
      <sheetData sheetId="9"/>
      <sheetData sheetId="10"/>
      <sheetData sheetId="11">
        <row r="15">
          <cell r="D15">
            <v>12138.31</v>
          </cell>
        </row>
        <row r="16">
          <cell r="D16">
            <v>51311.189999999995</v>
          </cell>
        </row>
        <row r="26">
          <cell r="D26">
            <v>51311.19</v>
          </cell>
        </row>
        <row r="50">
          <cell r="D50">
            <v>19599.800000000003</v>
          </cell>
        </row>
        <row r="61">
          <cell r="D61">
            <v>684149.23499999987</v>
          </cell>
        </row>
      </sheetData>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INNU July"/>
      <sheetName val="INNU Aug"/>
      <sheetName val="INNU Sept"/>
      <sheetName val="INNU Oct"/>
      <sheetName val="INNU Nov"/>
      <sheetName val="INNU Dec"/>
      <sheetName val="INNU Jan"/>
      <sheetName val="INNU Feb"/>
      <sheetName val="INNU Mar"/>
      <sheetName val="INNU Apr"/>
      <sheetName val="INNU May"/>
      <sheetName val="INNU June-Est"/>
      <sheetName val="INNU June-Final"/>
      <sheetName val="INNU June-Audited"/>
    </sheetNames>
    <sheetDataSet>
      <sheetData sheetId="0"/>
      <sheetData sheetId="1"/>
      <sheetData sheetId="2"/>
      <sheetData sheetId="3"/>
      <sheetData sheetId="4"/>
      <sheetData sheetId="5"/>
      <sheetData sheetId="6"/>
      <sheetData sheetId="7"/>
      <sheetData sheetId="8"/>
      <sheetData sheetId="9"/>
      <sheetData sheetId="10">
        <row r="42">
          <cell r="D42">
            <v>473.79999999999995</v>
          </cell>
        </row>
        <row r="43">
          <cell r="D43">
            <v>4634.5600000000004</v>
          </cell>
          <cell r="E43">
            <v>4682.49</v>
          </cell>
        </row>
      </sheetData>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ly"/>
      <sheetName val="August"/>
      <sheetName val="September"/>
      <sheetName val="October"/>
      <sheetName val="November"/>
      <sheetName val="December"/>
      <sheetName val="January"/>
      <sheetName val="February"/>
      <sheetName val="March"/>
      <sheetName val="April"/>
      <sheetName val="May"/>
      <sheetName val="June"/>
      <sheetName val="June Audited"/>
      <sheetName val="ADDs"/>
    </sheetNames>
    <sheetDataSet>
      <sheetData sheetId="0"/>
      <sheetData sheetId="1">
        <row r="15">
          <cell r="F15">
            <v>4368</v>
          </cell>
          <cell r="I15">
            <v>4368</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III C1 July"/>
      <sheetName val="III C1 August"/>
      <sheetName val="III C1 Sept"/>
      <sheetName val="III C1 Oct"/>
      <sheetName val="III C1 Nov"/>
      <sheetName val="III C1 Dec"/>
      <sheetName val="III C1 Jan"/>
      <sheetName val="III C1 Feb"/>
      <sheetName val="III C1 Mar"/>
      <sheetName val="III C1 Apr"/>
      <sheetName val="III C1 May"/>
      <sheetName val="III C1 June-Estimate"/>
      <sheetName val="III C1 June-Final"/>
      <sheetName val="III C1 June-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5">
          <cell r="D15">
            <v>33157.69</v>
          </cell>
        </row>
        <row r="30">
          <cell r="D30">
            <v>141587.64000000001</v>
          </cell>
          <cell r="E30">
            <v>152214</v>
          </cell>
        </row>
        <row r="54">
          <cell r="D54">
            <v>6672.15</v>
          </cell>
        </row>
        <row r="69">
          <cell r="D69">
            <v>992145.9</v>
          </cell>
          <cell r="E69">
            <v>1069643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III C2 July"/>
      <sheetName val="III C2 August"/>
      <sheetName val="III C2 Sept"/>
      <sheetName val="III C2 Oct"/>
      <sheetName val="III C2 Nov"/>
      <sheetName val="III C2 Dec"/>
      <sheetName val="III C2 Jan"/>
      <sheetName val="III C2 Feb"/>
      <sheetName val="III C2 Mar"/>
      <sheetName val="III C2 Apr"/>
      <sheetName val="III C2 May"/>
      <sheetName val="III C2 June-Final"/>
      <sheetName val="III C2 June-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24089.71</v>
          </cell>
        </row>
        <row r="30">
          <cell r="D30">
            <v>105845.05000000002</v>
          </cell>
          <cell r="E30">
            <v>107363</v>
          </cell>
        </row>
        <row r="54">
          <cell r="D54">
            <v>54424.250000000007</v>
          </cell>
        </row>
        <row r="69">
          <cell r="D69">
            <v>2501701.7450000001</v>
          </cell>
          <cell r="E69">
            <v>2501701.75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IID July"/>
      <sheetName val="IIID August"/>
      <sheetName val="IIID Sept"/>
      <sheetName val="IIID Oct"/>
      <sheetName val="IIID Nov"/>
      <sheetName val="IIID Dec"/>
      <sheetName val="IIID Jan"/>
      <sheetName val="IIID Feb"/>
      <sheetName val="IIID Mar"/>
      <sheetName val="IIID Apr"/>
      <sheetName val="IIID May"/>
      <sheetName val="IIID June-Final"/>
      <sheetName val="IIID June-Est"/>
      <sheetName val="IIID June-Audited"/>
      <sheetName val="ADDs"/>
    </sheetNames>
    <sheetDataSet>
      <sheetData sheetId="0"/>
      <sheetData sheetId="1"/>
      <sheetData sheetId="2"/>
      <sheetData sheetId="3"/>
      <sheetData sheetId="4"/>
      <sheetData sheetId="5"/>
      <sheetData sheetId="6"/>
      <sheetData sheetId="7"/>
      <sheetData sheetId="8"/>
      <sheetData sheetId="9"/>
      <sheetData sheetId="10">
        <row r="16">
          <cell r="E16">
            <v>199096</v>
          </cell>
        </row>
      </sheetData>
      <sheetData sheetId="11"/>
      <sheetData sheetId="12"/>
      <sheetData sheetId="13">
        <row r="15">
          <cell r="D15">
            <v>899.35</v>
          </cell>
        </row>
        <row r="29">
          <cell r="D29">
            <v>79510.600000000006</v>
          </cell>
        </row>
      </sheetData>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IIIE July"/>
      <sheetName val="IIIE August"/>
      <sheetName val="IIIE Sept"/>
      <sheetName val="IIIE Oct"/>
      <sheetName val="IIIE Nov"/>
      <sheetName val="IIIE Dec"/>
      <sheetName val="IIIE Jan"/>
      <sheetName val="IIIE Feb"/>
      <sheetName val="IIIE Mar"/>
      <sheetName val="IIIE Apr"/>
      <sheetName val="IIIE-May"/>
      <sheetName val="IIIE June-Final"/>
      <sheetName val="IIIE June-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10453.460000000001</v>
          </cell>
        </row>
        <row r="29">
          <cell r="E29">
            <v>39672</v>
          </cell>
        </row>
        <row r="30">
          <cell r="D30">
            <v>44894.9</v>
          </cell>
        </row>
        <row r="52">
          <cell r="D52">
            <v>32905.22</v>
          </cell>
        </row>
        <row r="66">
          <cell r="D66">
            <v>525821.13186408766</v>
          </cell>
          <cell r="E66">
            <v>802978.59000000008</v>
          </cell>
        </row>
        <row r="78">
          <cell r="D78">
            <v>22506.068135912406</v>
          </cell>
          <cell r="E78">
            <v>48626.409999999996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VII EA July"/>
      <sheetName val="VII EA Aug"/>
      <sheetName val="VII EA Sept"/>
      <sheetName val="VII EA Oct"/>
      <sheetName val="VII EA Nov"/>
      <sheetName val="VII EA Dec"/>
      <sheetName val="VII EA Jan"/>
      <sheetName val="VII EA Feb"/>
      <sheetName val="VII EA Mar"/>
      <sheetName val="VII EA Apr"/>
      <sheetName val="VII EA May"/>
      <sheetName val="VII EA June-Est"/>
      <sheetName val="VII EA June-Final"/>
      <sheetName val="VII EA June-Audi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D20">
            <v>8921.58</v>
          </cell>
          <cell r="E20">
            <v>11892</v>
          </cell>
        </row>
        <row r="21">
          <cell r="D21">
            <v>266.25</v>
          </cell>
          <cell r="E21">
            <v>266.25</v>
          </cell>
        </row>
        <row r="22">
          <cell r="D22">
            <v>548</v>
          </cell>
          <cell r="E22">
            <v>548</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VII OMB July"/>
      <sheetName val="VII OMB Aug"/>
      <sheetName val="VII OMB Sept"/>
      <sheetName val="VII OMB Oct"/>
      <sheetName val="VII OMB Nov"/>
      <sheetName val="VII OMB Dec"/>
      <sheetName val="VII OMB Jan"/>
      <sheetName val="VII OMB Feb"/>
      <sheetName val="VII OMB Mar"/>
      <sheetName val="VII OMB Apr"/>
      <sheetName val="VII OMB May"/>
      <sheetName val="VII OMB June-Final"/>
      <sheetName val="VII OMB June-Audited"/>
    </sheetNames>
    <sheetDataSet>
      <sheetData sheetId="0"/>
      <sheetData sheetId="1"/>
      <sheetData sheetId="2"/>
      <sheetData sheetId="3"/>
      <sheetData sheetId="4"/>
      <sheetData sheetId="5"/>
      <sheetData sheetId="6"/>
      <sheetData sheetId="7"/>
      <sheetData sheetId="8"/>
      <sheetData sheetId="9">
        <row r="20">
          <cell r="D20">
            <v>27477.949999999997</v>
          </cell>
          <cell r="E20">
            <v>31557</v>
          </cell>
        </row>
        <row r="21">
          <cell r="D21">
            <v>294</v>
          </cell>
          <cell r="E21">
            <v>294</v>
          </cell>
        </row>
        <row r="22">
          <cell r="D22">
            <v>41</v>
          </cell>
          <cell r="E22">
            <v>41</v>
          </cell>
        </row>
        <row r="24">
          <cell r="D24">
            <v>1152</v>
          </cell>
          <cell r="E24">
            <v>1152</v>
          </cell>
        </row>
      </sheetData>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Ds"/>
      <sheetName val="NSIP October"/>
      <sheetName val="NSIP November"/>
      <sheetName val="NSIP December"/>
      <sheetName val="NSIP January"/>
      <sheetName val="NSIP February"/>
      <sheetName val="NSIP March"/>
      <sheetName val="NSIP April"/>
      <sheetName val="NSIP May"/>
      <sheetName val="NSIP June"/>
      <sheetName val="NSIP July"/>
      <sheetName val="NSIP August"/>
      <sheetName val="NSIP September"/>
      <sheetName val="NSIP September Audited"/>
    </sheetNames>
    <sheetDataSet>
      <sheetData sheetId="0"/>
      <sheetData sheetId="1"/>
      <sheetData sheetId="2"/>
      <sheetData sheetId="3"/>
      <sheetData sheetId="4"/>
      <sheetData sheetId="5"/>
      <sheetData sheetId="6"/>
      <sheetData sheetId="7"/>
      <sheetData sheetId="8"/>
      <sheetData sheetId="9">
        <row r="10">
          <cell r="D10">
            <v>166399.82999999999</v>
          </cell>
        </row>
      </sheetData>
      <sheetData sheetId="10"/>
      <sheetData sheetId="11"/>
      <sheetData sheetId="12">
        <row r="8">
          <cell r="E8">
            <v>221872.7</v>
          </cell>
        </row>
      </sheetData>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195F-AB6A-4CFE-BFD3-3D84E0D616AD}">
  <dimension ref="A1:BB55"/>
  <sheetViews>
    <sheetView tabSelected="1" zoomScale="80" zoomScaleNormal="80" workbookViewId="0">
      <pane xSplit="1" ySplit="3" topLeftCell="B4" activePane="bottomRight" state="frozen"/>
      <selection pane="topRight" activeCell="B1" sqref="B1"/>
      <selection pane="bottomLeft" activeCell="A4" sqref="A4"/>
      <selection pane="bottomRight" activeCell="AT18" sqref="AT18:BB35"/>
    </sheetView>
  </sheetViews>
  <sheetFormatPr defaultRowHeight="15" x14ac:dyDescent="0.25"/>
  <cols>
    <col min="1" max="1" width="24.5703125" style="20" customWidth="1"/>
    <col min="2" max="22" width="24.85546875" style="6" customWidth="1"/>
    <col min="23" max="25" width="24.7109375" style="6" customWidth="1"/>
    <col min="26" max="54" width="24.7109375" style="15" customWidth="1"/>
    <col min="55" max="16384" width="9.140625" style="15"/>
  </cols>
  <sheetData>
    <row r="1" spans="1:54" s="6" customFormat="1" ht="15.75" thickBot="1" x14ac:dyDescent="0.3">
      <c r="A1" s="20"/>
      <c r="G1" s="32"/>
      <c r="I1" s="32"/>
      <c r="AT1" s="21"/>
    </row>
    <row r="2" spans="1:54" s="6" customFormat="1" ht="15.75" thickBot="1" x14ac:dyDescent="0.3">
      <c r="A2" s="22"/>
      <c r="B2" s="51"/>
      <c r="C2" s="52"/>
      <c r="D2" s="52"/>
      <c r="E2" s="52"/>
      <c r="F2" s="52"/>
      <c r="G2" s="52"/>
      <c r="H2" s="52"/>
      <c r="I2" s="52"/>
      <c r="J2" s="52"/>
      <c r="K2" s="52"/>
      <c r="L2" s="52"/>
      <c r="M2" s="52"/>
      <c r="N2" s="52"/>
      <c r="O2" s="52"/>
      <c r="P2" s="52"/>
      <c r="Q2" s="52"/>
      <c r="R2" s="52"/>
      <c r="S2" s="52"/>
      <c r="T2" s="52"/>
      <c r="U2" s="23"/>
      <c r="V2" s="7"/>
      <c r="W2" s="7"/>
      <c r="X2" s="7"/>
      <c r="Y2" s="7"/>
      <c r="Z2" s="7"/>
      <c r="AA2" s="7"/>
      <c r="AB2" s="7"/>
      <c r="AC2" s="7"/>
      <c r="AD2" s="7"/>
      <c r="AE2" s="7"/>
      <c r="AF2" s="7"/>
      <c r="AG2" s="7"/>
      <c r="AH2" s="7"/>
      <c r="AI2" s="7"/>
      <c r="AJ2" s="7"/>
      <c r="AK2" s="7"/>
      <c r="AL2" s="7"/>
      <c r="AM2" s="7"/>
      <c r="AN2" s="7"/>
      <c r="AO2" s="7"/>
      <c r="AP2" s="7"/>
      <c r="AQ2" s="7"/>
      <c r="AR2" s="7"/>
      <c r="AS2" s="23"/>
      <c r="AT2" s="7"/>
      <c r="AU2" s="7"/>
      <c r="AV2" s="7"/>
      <c r="AW2" s="7"/>
      <c r="AX2" s="7"/>
      <c r="AY2" s="7"/>
      <c r="AZ2" s="7"/>
      <c r="BA2" s="7"/>
      <c r="BB2" s="7"/>
    </row>
    <row r="3" spans="1:54" s="34" customFormat="1" ht="30" x14ac:dyDescent="0.25">
      <c r="A3" s="24"/>
      <c r="B3" s="8" t="s">
        <v>0</v>
      </c>
      <c r="C3" s="8" t="s">
        <v>1</v>
      </c>
      <c r="D3" s="8" t="s">
        <v>2</v>
      </c>
      <c r="E3" s="8" t="s">
        <v>3</v>
      </c>
      <c r="F3" s="8" t="s">
        <v>4</v>
      </c>
      <c r="G3" s="8" t="s">
        <v>5</v>
      </c>
      <c r="H3" s="8" t="s">
        <v>6</v>
      </c>
      <c r="I3" s="8" t="s">
        <v>7</v>
      </c>
      <c r="J3" s="8" t="s">
        <v>162</v>
      </c>
      <c r="K3" s="8" t="s">
        <v>161</v>
      </c>
      <c r="L3" s="8" t="s">
        <v>8</v>
      </c>
      <c r="M3" s="8" t="s">
        <v>9</v>
      </c>
      <c r="N3" s="8" t="s">
        <v>10</v>
      </c>
      <c r="O3" s="8" t="s">
        <v>11</v>
      </c>
      <c r="P3" s="8" t="s">
        <v>163</v>
      </c>
      <c r="Q3" s="8" t="s">
        <v>164</v>
      </c>
      <c r="R3" s="8" t="s">
        <v>165</v>
      </c>
      <c r="S3" s="8" t="s">
        <v>168</v>
      </c>
      <c r="T3" s="8" t="s">
        <v>166</v>
      </c>
      <c r="U3" s="8" t="s">
        <v>167</v>
      </c>
      <c r="V3" s="8" t="s">
        <v>12</v>
      </c>
      <c r="W3" s="8" t="s">
        <v>13</v>
      </c>
      <c r="X3" s="8" t="s">
        <v>171</v>
      </c>
      <c r="Y3" s="8" t="s">
        <v>109</v>
      </c>
      <c r="Z3" s="8" t="s">
        <v>124</v>
      </c>
      <c r="AA3" s="8" t="s">
        <v>125</v>
      </c>
      <c r="AB3" s="8" t="s">
        <v>79</v>
      </c>
      <c r="AC3" s="8" t="s">
        <v>80</v>
      </c>
      <c r="AD3" s="8" t="s">
        <v>106</v>
      </c>
      <c r="AE3" s="8" t="s">
        <v>81</v>
      </c>
      <c r="AF3" s="8" t="s">
        <v>82</v>
      </c>
      <c r="AG3" s="8" t="s">
        <v>83</v>
      </c>
      <c r="AH3" s="8" t="s">
        <v>84</v>
      </c>
      <c r="AI3" s="8" t="s">
        <v>85</v>
      </c>
      <c r="AJ3" s="8" t="s">
        <v>107</v>
      </c>
      <c r="AK3" s="8" t="s">
        <v>126</v>
      </c>
      <c r="AL3" s="8" t="s">
        <v>127</v>
      </c>
      <c r="AM3" s="8" t="s">
        <v>128</v>
      </c>
      <c r="AN3" s="8" t="s">
        <v>129</v>
      </c>
      <c r="AO3" s="8" t="s">
        <v>14</v>
      </c>
      <c r="AP3" s="8" t="s">
        <v>15</v>
      </c>
      <c r="AQ3" s="8" t="s">
        <v>86</v>
      </c>
      <c r="AR3" s="8" t="s">
        <v>16</v>
      </c>
      <c r="AS3" s="8" t="s">
        <v>18</v>
      </c>
      <c r="AT3" s="8" t="s">
        <v>17</v>
      </c>
      <c r="AU3" s="8" t="s">
        <v>20</v>
      </c>
      <c r="AV3" s="8" t="s">
        <v>19</v>
      </c>
      <c r="AW3" s="8" t="s">
        <v>87</v>
      </c>
      <c r="AX3" s="8" t="s">
        <v>108</v>
      </c>
      <c r="AY3" s="8" t="s">
        <v>130</v>
      </c>
      <c r="AZ3" s="8" t="s">
        <v>131</v>
      </c>
      <c r="BA3" s="8" t="s">
        <v>133</v>
      </c>
      <c r="BB3" s="8" t="s">
        <v>132</v>
      </c>
    </row>
    <row r="4" spans="1:54" x14ac:dyDescent="0.25">
      <c r="A4" s="25" t="s">
        <v>21</v>
      </c>
      <c r="B4" s="33">
        <f>'[1]IIIB June-Audited'!$E$16+'[1]IIIB June-Audited'!$E$67</f>
        <v>1999546.6099999999</v>
      </c>
      <c r="C4" s="33">
        <f>'[2]B OMB June-Audited'!$E$29</f>
        <v>96670.22</v>
      </c>
      <c r="D4" s="5">
        <f>'[3]III C1 June-Audited'!$E$30+'[3]III C1 June-Audited'!$E$69</f>
        <v>1221857</v>
      </c>
      <c r="E4" s="5">
        <f>'[4]III C2 June-Audited'!$E$30+'[4]III C2 June-Audited'!$E$69</f>
        <v>2609064.75</v>
      </c>
      <c r="F4" s="5">
        <f>'[5]IIID May'!$E$16</f>
        <v>199096</v>
      </c>
      <c r="G4" s="5">
        <f>'[6]IIIE June-Audited'!$E$29+'[6]IIIE June-Audited'!$E$66+'[6]IIIE June-Audited'!$E$78</f>
        <v>891277.00000000012</v>
      </c>
      <c r="H4" s="5">
        <f>'[7]VII EA June-Audited'!$E$20+'[7]VII EA June-Audited'!$E$21+'[7]VII EA June-Audited'!$E$22</f>
        <v>12706.25</v>
      </c>
      <c r="I4" s="5">
        <f>'[8]VII OMB Mar'!$E$20+'[8]VII OMB Mar'!$E$21+'[8]VII OMB Mar'!$E$22+'[8]VII OMB Mar'!$E$24</f>
        <v>33044</v>
      </c>
      <c r="J4" s="5">
        <v>0</v>
      </c>
      <c r="K4" s="5">
        <f>'[9]NSIP September'!$E$8</f>
        <v>221872.7</v>
      </c>
      <c r="L4" s="5">
        <f>'[10]KYCG June-Audited'!$E$26+'[10]KYCG June-Audited'!$E$49</f>
        <v>293573</v>
      </c>
      <c r="M4" s="5">
        <f>'[11]SLTCO June-Audited'!$E$16</f>
        <v>298204.46999999997</v>
      </c>
      <c r="N4" s="5">
        <f>'[12]HC June-Audited'!$E$56+'[12]HC June-Audited'!$E$16</f>
        <v>2826837</v>
      </c>
      <c r="O4" s="5">
        <f>'[13]SHIP June Audited'!$E$17+'[13]SHIP June Audited'!$E$51</f>
        <v>93274</v>
      </c>
      <c r="P4" s="5">
        <f>'[14] MIPPA SHIP August '!$E$28-'[14] MIPPA SHIP June'!$D$28</f>
        <v>2209.0299999999988</v>
      </c>
      <c r="Q4" s="5">
        <f>'[15] MIPPA SHIP August Final'!$E$18</f>
        <v>43082</v>
      </c>
      <c r="R4" s="5">
        <f>'[16] MIPPA AAA August Final'!$E$18-'[16] MIPPA AAA June'!$D$18</f>
        <v>5211.3500000000022</v>
      </c>
      <c r="S4" s="5">
        <f>'[17] MIPPA AAA June'!$E$18</f>
        <v>42802</v>
      </c>
      <c r="T4" s="5">
        <f>'[18] MIPPA ADRC June'!$E$24-'[18] MIPPA ADRC June'!$D$24</f>
        <v>2.6600000000003092</v>
      </c>
      <c r="U4" s="5">
        <f>'[19] MIPPA ADRC June'!$E$28</f>
        <v>9289</v>
      </c>
      <c r="V4" s="5">
        <f>'[20]ADRC June Est'!$G$9</f>
        <v>160000</v>
      </c>
      <c r="W4" s="5">
        <f>'[21]ESMP June-Final'!$D$26+'[21]ESMP June-Final'!$D$61</f>
        <v>735460.42499999981</v>
      </c>
      <c r="X4" s="5">
        <f>'[22]INNU Apr'!$E$43</f>
        <v>4682.49</v>
      </c>
      <c r="Y4" s="5">
        <f>[23]August!$F$15</f>
        <v>4368</v>
      </c>
      <c r="Z4" s="5">
        <v>10899</v>
      </c>
      <c r="AA4" s="31">
        <v>37041</v>
      </c>
      <c r="AB4" s="31">
        <v>7313</v>
      </c>
      <c r="AC4" s="31">
        <v>7047</v>
      </c>
      <c r="AD4" s="31">
        <v>12366</v>
      </c>
      <c r="AE4" s="31">
        <f>12079</f>
        <v>12079</v>
      </c>
      <c r="AF4" s="31">
        <v>46593</v>
      </c>
      <c r="AG4" s="31">
        <v>23309</v>
      </c>
      <c r="AH4" s="31">
        <v>4085</v>
      </c>
      <c r="AI4" s="31">
        <f>12459</f>
        <v>12459</v>
      </c>
      <c r="AJ4" s="31">
        <v>202</v>
      </c>
      <c r="AK4" s="31">
        <v>7047</v>
      </c>
      <c r="AL4" s="31">
        <v>7127</v>
      </c>
      <c r="AM4" s="31">
        <v>8887</v>
      </c>
      <c r="AN4" s="31">
        <v>0</v>
      </c>
      <c r="AO4" s="9">
        <f>116892</f>
        <v>116892</v>
      </c>
      <c r="AP4" s="9">
        <f>12397.26</f>
        <v>12397.26</v>
      </c>
      <c r="AQ4" s="9">
        <v>245350</v>
      </c>
      <c r="AR4" s="9">
        <v>175960</v>
      </c>
      <c r="AS4" s="5">
        <v>109740</v>
      </c>
      <c r="AT4" s="5">
        <v>83454</v>
      </c>
      <c r="AU4" s="5">
        <v>21900</v>
      </c>
      <c r="AV4" s="31">
        <f>1282547+237579+80159</f>
        <v>1600285</v>
      </c>
      <c r="AW4" s="5">
        <v>977000</v>
      </c>
      <c r="AX4" s="5">
        <v>484500</v>
      </c>
      <c r="AY4" s="5">
        <f>29802+5521+1863</f>
        <v>37186</v>
      </c>
      <c r="AZ4" s="5">
        <f>24834+4600+1552</f>
        <v>30986</v>
      </c>
      <c r="BA4" s="5">
        <f>12417+2300+776</f>
        <v>15493</v>
      </c>
      <c r="BB4" s="5">
        <v>158280</v>
      </c>
    </row>
    <row r="5" spans="1:54" ht="30" x14ac:dyDescent="0.25">
      <c r="A5" s="25" t="s">
        <v>22</v>
      </c>
      <c r="B5" s="33">
        <v>0</v>
      </c>
      <c r="C5" s="33">
        <v>0</v>
      </c>
      <c r="D5" s="5">
        <v>0</v>
      </c>
      <c r="E5" s="5">
        <v>0</v>
      </c>
      <c r="F5" s="5">
        <v>0</v>
      </c>
      <c r="G5" s="5">
        <v>11223.73</v>
      </c>
      <c r="H5" s="5">
        <v>0</v>
      </c>
      <c r="I5" s="5">
        <v>0</v>
      </c>
      <c r="J5" s="5">
        <v>0</v>
      </c>
      <c r="K5" s="5">
        <v>0</v>
      </c>
      <c r="L5" s="5">
        <v>74.489999999999995</v>
      </c>
      <c r="M5" s="5">
        <v>0</v>
      </c>
      <c r="N5" s="5">
        <v>0</v>
      </c>
      <c r="O5" s="5">
        <f>25.33+298.59</f>
        <v>323.91999999999996</v>
      </c>
      <c r="P5" s="5">
        <v>0</v>
      </c>
      <c r="Q5" s="5"/>
      <c r="R5" s="5">
        <v>0</v>
      </c>
      <c r="S5" s="5">
        <v>0</v>
      </c>
      <c r="T5" s="5">
        <v>0</v>
      </c>
      <c r="U5" s="5">
        <v>0</v>
      </c>
      <c r="V5" s="5">
        <v>0</v>
      </c>
      <c r="W5" s="5">
        <v>0</v>
      </c>
      <c r="X5" s="5">
        <v>0</v>
      </c>
      <c r="Y5" s="5">
        <v>0</v>
      </c>
      <c r="Z5" s="5">
        <v>0</v>
      </c>
      <c r="AA5" s="5">
        <v>0</v>
      </c>
      <c r="AB5" s="5">
        <v>0</v>
      </c>
      <c r="AC5" s="5">
        <v>0</v>
      </c>
      <c r="AD5" s="5">
        <v>0</v>
      </c>
      <c r="AE5" s="5">
        <v>0</v>
      </c>
      <c r="AF5" s="5">
        <v>0</v>
      </c>
      <c r="AG5" s="5">
        <v>0</v>
      </c>
      <c r="AH5" s="5">
        <v>0</v>
      </c>
      <c r="AI5" s="5">
        <v>0</v>
      </c>
      <c r="AJ5" s="5">
        <v>0</v>
      </c>
      <c r="AK5" s="5">
        <v>0</v>
      </c>
      <c r="AL5" s="5">
        <v>0</v>
      </c>
      <c r="AM5" s="5">
        <v>0</v>
      </c>
      <c r="AN5" s="5">
        <v>0</v>
      </c>
      <c r="AO5" s="9">
        <v>2652.68</v>
      </c>
      <c r="AP5" s="9">
        <v>293.79000000000002</v>
      </c>
      <c r="AQ5" s="9">
        <v>6106.37</v>
      </c>
      <c r="AR5" s="9">
        <v>3963.41</v>
      </c>
      <c r="AS5" s="5">
        <v>402.68</v>
      </c>
      <c r="AT5" s="5">
        <v>9630.48</v>
      </c>
      <c r="AU5" s="5">
        <v>0</v>
      </c>
      <c r="AV5" s="5">
        <f>((1282547/0.85)*0.15)+((237579/0.8)*0.2)</f>
        <v>285726.57352941181</v>
      </c>
      <c r="AW5" s="5">
        <f>(977000/0.8)*0.2</f>
        <v>244250</v>
      </c>
      <c r="AX5" s="5">
        <f>(AX4/0.8)*0.2</f>
        <v>121125</v>
      </c>
      <c r="AY5" s="31">
        <f>(28135/120000)*AY4</f>
        <v>8718.5675833333335</v>
      </c>
      <c r="AZ5" s="31">
        <f>(23449/100000)*AZ4</f>
        <v>7265.9071400000003</v>
      </c>
      <c r="BA5" s="31">
        <f>(11724/50000)*BA4</f>
        <v>3632.79864</v>
      </c>
      <c r="BB5" s="31">
        <v>0</v>
      </c>
    </row>
    <row r="6" spans="1:54" x14ac:dyDescent="0.25">
      <c r="A6" s="25" t="s">
        <v>24</v>
      </c>
      <c r="B6" s="33">
        <f>SUM(B4:B5)</f>
        <v>1999546.6099999999</v>
      </c>
      <c r="C6" s="33">
        <f>C4+C5</f>
        <v>96670.22</v>
      </c>
      <c r="D6" s="33">
        <f t="shared" ref="D6:Z6" si="0">SUM(D4:D5)</f>
        <v>1221857</v>
      </c>
      <c r="E6" s="33">
        <f t="shared" si="0"/>
        <v>2609064.75</v>
      </c>
      <c r="F6" s="33">
        <f t="shared" si="0"/>
        <v>199096</v>
      </c>
      <c r="G6" s="33">
        <f t="shared" si="0"/>
        <v>902500.7300000001</v>
      </c>
      <c r="H6" s="33">
        <f>H4+H5</f>
        <v>12706.25</v>
      </c>
      <c r="I6" s="33">
        <f t="shared" si="0"/>
        <v>33044</v>
      </c>
      <c r="J6" s="33">
        <f t="shared" si="0"/>
        <v>0</v>
      </c>
      <c r="K6" s="33">
        <f t="shared" si="0"/>
        <v>221872.7</v>
      </c>
      <c r="L6" s="33">
        <f t="shared" si="0"/>
        <v>293647.49</v>
      </c>
      <c r="M6" s="33">
        <f t="shared" si="0"/>
        <v>298204.46999999997</v>
      </c>
      <c r="N6" s="33">
        <f t="shared" si="0"/>
        <v>2826837</v>
      </c>
      <c r="O6" s="33">
        <f t="shared" si="0"/>
        <v>93597.92</v>
      </c>
      <c r="P6" s="33">
        <f t="shared" si="0"/>
        <v>2209.0299999999988</v>
      </c>
      <c r="Q6" s="33">
        <f>Q4+Q5</f>
        <v>43082</v>
      </c>
      <c r="R6" s="33">
        <f t="shared" si="0"/>
        <v>5211.3500000000022</v>
      </c>
      <c r="S6" s="33">
        <f t="shared" si="0"/>
        <v>42802</v>
      </c>
      <c r="T6" s="33">
        <f t="shared" si="0"/>
        <v>2.6600000000003092</v>
      </c>
      <c r="U6" s="33">
        <f t="shared" si="0"/>
        <v>9289</v>
      </c>
      <c r="V6" s="33">
        <f t="shared" si="0"/>
        <v>160000</v>
      </c>
      <c r="W6" s="33">
        <f t="shared" si="0"/>
        <v>735460.42499999981</v>
      </c>
      <c r="X6" s="33">
        <f t="shared" si="0"/>
        <v>4682.49</v>
      </c>
      <c r="Y6" s="33">
        <f t="shared" si="0"/>
        <v>4368</v>
      </c>
      <c r="Z6" s="33">
        <f t="shared" si="0"/>
        <v>10899</v>
      </c>
      <c r="AA6" s="5">
        <f t="shared" ref="AA6" si="1">SUM(AA4:AA5)</f>
        <v>37041</v>
      </c>
      <c r="AB6" s="5">
        <f>SUM(AB4:AB5)</f>
        <v>7313</v>
      </c>
      <c r="AC6" s="5">
        <f>SUM(AC4:AC5)</f>
        <v>7047</v>
      </c>
      <c r="AD6" s="5">
        <f>SUM(AD4:AD5)</f>
        <v>12366</v>
      </c>
      <c r="AE6" s="5">
        <f t="shared" ref="AE6:AM6" si="2">SUM(AE4:AE5)</f>
        <v>12079</v>
      </c>
      <c r="AF6" s="5">
        <f t="shared" si="2"/>
        <v>46593</v>
      </c>
      <c r="AG6" s="5">
        <f t="shared" si="2"/>
        <v>23309</v>
      </c>
      <c r="AH6" s="5">
        <f t="shared" si="2"/>
        <v>4085</v>
      </c>
      <c r="AI6" s="5">
        <f t="shared" si="2"/>
        <v>12459</v>
      </c>
      <c r="AJ6" s="5">
        <f>SUM(AJ4:AJ5)</f>
        <v>202</v>
      </c>
      <c r="AK6" s="5">
        <f>SUM(AK4:AK5)</f>
        <v>7047</v>
      </c>
      <c r="AL6" s="5">
        <f>SUM(AL4:AL5)</f>
        <v>7127</v>
      </c>
      <c r="AM6" s="5">
        <f t="shared" si="2"/>
        <v>8887</v>
      </c>
      <c r="AN6" s="5">
        <f t="shared" ref="AN6" si="3">SUM(AN4:AN5)</f>
        <v>0</v>
      </c>
      <c r="AO6" s="5">
        <f t="shared" ref="AO6:AS6" si="4">SUM(AO4:AO5)</f>
        <v>119544.68</v>
      </c>
      <c r="AP6" s="5">
        <f t="shared" si="4"/>
        <v>12691.050000000001</v>
      </c>
      <c r="AQ6" s="5">
        <f t="shared" si="4"/>
        <v>251456.37</v>
      </c>
      <c r="AR6" s="5">
        <f t="shared" si="4"/>
        <v>179923.41</v>
      </c>
      <c r="AS6" s="5">
        <f t="shared" si="4"/>
        <v>110142.68</v>
      </c>
      <c r="AT6" s="5">
        <f t="shared" ref="AT6:AZ6" si="5">SUM(AT4:AT5)</f>
        <v>93084.479999999996</v>
      </c>
      <c r="AU6" s="5">
        <f t="shared" si="5"/>
        <v>21900</v>
      </c>
      <c r="AV6" s="5">
        <f t="shared" si="5"/>
        <v>1886011.5735294118</v>
      </c>
      <c r="AW6" s="5">
        <f t="shared" si="5"/>
        <v>1221250</v>
      </c>
      <c r="AX6" s="5">
        <f t="shared" si="5"/>
        <v>605625</v>
      </c>
      <c r="AY6" s="5">
        <f t="shared" si="5"/>
        <v>45904.567583333337</v>
      </c>
      <c r="AZ6" s="5">
        <f t="shared" si="5"/>
        <v>38251.907140000003</v>
      </c>
      <c r="BA6" s="5">
        <f t="shared" ref="BA6:BB6" si="6">SUM(BA4:BA5)</f>
        <v>19125.798640000001</v>
      </c>
      <c r="BB6" s="5">
        <f t="shared" si="6"/>
        <v>158280</v>
      </c>
    </row>
    <row r="7" spans="1:54" x14ac:dyDescent="0.25">
      <c r="A7" s="26" t="s">
        <v>25</v>
      </c>
      <c r="B7" s="12">
        <f>'[1]IIIB June-Audited'!$D$16-'[1]IIIB June-Audited'!$D$15</f>
        <v>81497.619999999981</v>
      </c>
      <c r="C7" s="12">
        <v>0</v>
      </c>
      <c r="D7" s="9">
        <f>'[3]III C1 June-Audited'!$D$30-'[3]III C1 June-Audited'!$D$15</f>
        <v>108429.95000000001</v>
      </c>
      <c r="E7" s="9">
        <f>'[4]III C2 June-Audited'!$D$30-'[4]III C2 June-Audited'!$D$15</f>
        <v>81755.340000000026</v>
      </c>
      <c r="F7" s="9">
        <v>0</v>
      </c>
      <c r="G7" s="9">
        <f>'[6]IIIE June-Audited'!$D$30-'[6]IIIE June-Audited'!$D$15</f>
        <v>34441.440000000002</v>
      </c>
      <c r="H7" s="9">
        <v>0</v>
      </c>
      <c r="I7" s="9">
        <v>0</v>
      </c>
      <c r="J7" s="9">
        <v>0</v>
      </c>
      <c r="K7" s="9">
        <v>0</v>
      </c>
      <c r="L7" s="9">
        <f>'[10]KYCG June-Audited'!$D$16-'[10]KYCG June-Audited'!$D$15</f>
        <v>14690.509999999998</v>
      </c>
      <c r="M7" s="9">
        <v>0</v>
      </c>
      <c r="N7" s="9">
        <f>'[12]HC June-Audited'!$D$16-'[12]HC June-Audited'!$D$15</f>
        <v>284343.35000000009</v>
      </c>
      <c r="O7" s="9">
        <f>'[13]SHIP June Audited'!$D$17-'[13]SHIP June Audited'!$D$16</f>
        <v>3553.3199999999997</v>
      </c>
      <c r="P7" s="10">
        <v>0</v>
      </c>
      <c r="Q7" s="9">
        <v>0</v>
      </c>
      <c r="R7" s="9">
        <v>0</v>
      </c>
      <c r="S7" s="9">
        <v>0</v>
      </c>
      <c r="T7" s="9">
        <v>0</v>
      </c>
      <c r="U7" s="9">
        <v>0</v>
      </c>
      <c r="V7" s="9">
        <v>0</v>
      </c>
      <c r="W7" s="9">
        <f>'[21]ESMP June-Final'!$D$16-'[21]ESMP June-Final'!$D$15</f>
        <v>39172.879999999997</v>
      </c>
      <c r="X7" s="9">
        <v>0</v>
      </c>
      <c r="Y7" s="9">
        <v>0</v>
      </c>
      <c r="Z7" s="9">
        <f>4175.02+2033.71</f>
        <v>6208.7300000000005</v>
      </c>
      <c r="AA7" s="10">
        <f>5956.5+2901.5</f>
        <v>8858</v>
      </c>
      <c r="AB7" s="10">
        <f>8056.75+3924.56</f>
        <v>11981.31</v>
      </c>
      <c r="AC7" s="10">
        <f>2066.43+1006.59</f>
        <v>3073.02</v>
      </c>
      <c r="AD7" s="10">
        <f>8181.36+3985.25</f>
        <v>12166.61</v>
      </c>
      <c r="AE7" s="10">
        <f>17498.52+8523.79</f>
        <v>26022.31</v>
      </c>
      <c r="AF7" s="10">
        <f>22679.34+11047.44</f>
        <v>33726.78</v>
      </c>
      <c r="AG7" s="10">
        <f>14903.87+7259.88</f>
        <v>22163.75</v>
      </c>
      <c r="AH7" s="10">
        <f>2096.82+1021.39</f>
        <v>3118.21</v>
      </c>
      <c r="AI7" s="10">
        <f>8518.73+4149.59</f>
        <v>12668.32</v>
      </c>
      <c r="AJ7" s="10">
        <f>281.21+136.98</f>
        <v>418.18999999999994</v>
      </c>
      <c r="AK7" s="10">
        <f>84.34+41.08</f>
        <v>125.42</v>
      </c>
      <c r="AL7" s="10">
        <v>0</v>
      </c>
      <c r="AM7" s="10">
        <f>5806.55+2828.45</f>
        <v>8635</v>
      </c>
      <c r="AN7" s="10">
        <f>246.72+120.18</f>
        <v>366.9</v>
      </c>
      <c r="AO7" s="10">
        <f>59028.87+28753.77</f>
        <v>87782.64</v>
      </c>
      <c r="AP7" s="10">
        <f>6452.31+3143.01</f>
        <v>9595.32</v>
      </c>
      <c r="AQ7" s="10">
        <f>114178.95+55618.13</f>
        <v>169797.08</v>
      </c>
      <c r="AR7" s="10">
        <f>88426.63+43073.82</f>
        <v>131500.45000000001</v>
      </c>
      <c r="AS7" s="10">
        <f>54921.19+26752.87</f>
        <v>81674.06</v>
      </c>
      <c r="AT7" s="10">
        <f>46869.28+22830.67</f>
        <v>69699.95</v>
      </c>
      <c r="AU7" s="10">
        <f>8587.54+4183.1</f>
        <v>12770.640000000001</v>
      </c>
      <c r="AV7" s="10">
        <f>(813720.21+396374.28)*(SUM(AV4:AV5)/2512788)</f>
        <v>908254.97941098537</v>
      </c>
      <c r="AW7" s="10">
        <f>(190103.11+86490.48)*(1380000/SUM(AW4:AW5))</f>
        <v>312547.92564994877</v>
      </c>
      <c r="AX7" s="10">
        <v>0</v>
      </c>
      <c r="AY7" s="10">
        <v>0</v>
      </c>
      <c r="AZ7" s="10">
        <v>0</v>
      </c>
      <c r="BA7" s="10">
        <v>0</v>
      </c>
      <c r="BB7" s="10">
        <v>0</v>
      </c>
    </row>
    <row r="8" spans="1:54" x14ac:dyDescent="0.25">
      <c r="A8" s="27" t="s">
        <v>26</v>
      </c>
      <c r="B8" s="11">
        <f>B7/B6</f>
        <v>4.0758049646064505E-2</v>
      </c>
      <c r="C8" s="11">
        <f t="shared" ref="C8:AZ8" si="7">C7/C6</f>
        <v>0</v>
      </c>
      <c r="D8" s="11">
        <f t="shared" si="7"/>
        <v>8.8741931338937374E-2</v>
      </c>
      <c r="E8" s="11">
        <f t="shared" si="7"/>
        <v>3.1335113473132482E-2</v>
      </c>
      <c r="F8" s="11">
        <f t="shared" si="7"/>
        <v>0</v>
      </c>
      <c r="G8" s="11">
        <f t="shared" si="7"/>
        <v>3.8162229519747869E-2</v>
      </c>
      <c r="H8" s="11">
        <f t="shared" si="7"/>
        <v>0</v>
      </c>
      <c r="I8" s="11">
        <f t="shared" si="7"/>
        <v>0</v>
      </c>
      <c r="J8" s="11">
        <v>0</v>
      </c>
      <c r="K8" s="11">
        <f t="shared" si="7"/>
        <v>0</v>
      </c>
      <c r="L8" s="11">
        <f t="shared" si="7"/>
        <v>5.0027704987364266E-2</v>
      </c>
      <c r="M8" s="11">
        <f t="shared" si="7"/>
        <v>0</v>
      </c>
      <c r="N8" s="11">
        <f t="shared" si="7"/>
        <v>0.10058710495157665</v>
      </c>
      <c r="O8" s="11">
        <f t="shared" si="7"/>
        <v>3.7963664149801617E-2</v>
      </c>
      <c r="P8" s="11">
        <f t="shared" si="7"/>
        <v>0</v>
      </c>
      <c r="Q8" s="11">
        <f t="shared" si="7"/>
        <v>0</v>
      </c>
      <c r="R8" s="11">
        <f t="shared" si="7"/>
        <v>0</v>
      </c>
      <c r="S8" s="11">
        <f t="shared" si="7"/>
        <v>0</v>
      </c>
      <c r="T8" s="11">
        <v>0</v>
      </c>
      <c r="U8" s="11">
        <f t="shared" si="7"/>
        <v>0</v>
      </c>
      <c r="V8" s="11">
        <f t="shared" si="7"/>
        <v>0</v>
      </c>
      <c r="W8" s="11">
        <f t="shared" si="7"/>
        <v>5.3263069865383997E-2</v>
      </c>
      <c r="X8" s="11">
        <f t="shared" si="7"/>
        <v>0</v>
      </c>
      <c r="Y8" s="11">
        <f t="shared" si="7"/>
        <v>0</v>
      </c>
      <c r="Z8" s="11">
        <f t="shared" si="7"/>
        <v>0.56966051931369854</v>
      </c>
      <c r="AA8" s="11">
        <f t="shared" si="7"/>
        <v>0.23914041197591857</v>
      </c>
      <c r="AB8" s="11">
        <f>AB7/AB6</f>
        <v>1.6383577191303158</v>
      </c>
      <c r="AC8" s="11">
        <f>AC7/AC6</f>
        <v>0.43607492550021287</v>
      </c>
      <c r="AD8" s="11">
        <f>AD7/AD6</f>
        <v>0.98387595018599394</v>
      </c>
      <c r="AE8" s="11">
        <f t="shared" ref="AE8:AM8" si="8">AE7/AE6</f>
        <v>2.1543430747578443</v>
      </c>
      <c r="AF8" s="11">
        <f t="shared" si="8"/>
        <v>0.72385937801815725</v>
      </c>
      <c r="AG8" s="11">
        <f>AG7/AG6</f>
        <v>0.95086661804453221</v>
      </c>
      <c r="AH8" s="11">
        <f>AH7/AH6</f>
        <v>0.76333170134638928</v>
      </c>
      <c r="AI8" s="11">
        <f t="shared" si="8"/>
        <v>1.0168007063167188</v>
      </c>
      <c r="AJ8" s="11">
        <f>AJ7/AJ6</f>
        <v>2.070247524752475</v>
      </c>
      <c r="AK8" s="11">
        <f>AK7/AK6</f>
        <v>1.7797644387682703E-2</v>
      </c>
      <c r="AL8" s="11">
        <f t="shared" ref="AL8" si="9">AL7/AL6</f>
        <v>0</v>
      </c>
      <c r="AM8" s="11">
        <f t="shared" si="8"/>
        <v>0.97164397434454819</v>
      </c>
      <c r="AN8" s="11" t="e">
        <f t="shared" ref="AN8" si="10">AN7/AN6</f>
        <v>#DIV/0!</v>
      </c>
      <c r="AO8" s="11">
        <f t="shared" si="7"/>
        <v>0.73430821011859337</v>
      </c>
      <c r="AP8" s="11">
        <f t="shared" si="7"/>
        <v>0.75606982873757478</v>
      </c>
      <c r="AQ8" s="11">
        <f t="shared" si="7"/>
        <v>0.67525463761367421</v>
      </c>
      <c r="AR8" s="11">
        <f t="shared" si="7"/>
        <v>0.730869040332217</v>
      </c>
      <c r="AS8" s="11">
        <f t="shared" si="7"/>
        <v>0.74152962321236415</v>
      </c>
      <c r="AT8" s="11">
        <f t="shared" si="7"/>
        <v>0.74878164437293948</v>
      </c>
      <c r="AU8" s="11">
        <f t="shared" si="7"/>
        <v>0.58313424657534252</v>
      </c>
      <c r="AV8" s="11">
        <f t="shared" si="7"/>
        <v>0.48157444639181657</v>
      </c>
      <c r="AW8" s="11">
        <f t="shared" si="7"/>
        <v>0.25592460646874005</v>
      </c>
      <c r="AX8" s="11">
        <f t="shared" si="7"/>
        <v>0</v>
      </c>
      <c r="AY8" s="11">
        <f t="shared" si="7"/>
        <v>0</v>
      </c>
      <c r="AZ8" s="11">
        <f t="shared" si="7"/>
        <v>0</v>
      </c>
      <c r="BA8" s="11">
        <f t="shared" ref="BA8:BB8" si="11">BA7/BA6</f>
        <v>0</v>
      </c>
      <c r="BB8" s="11">
        <f t="shared" si="11"/>
        <v>0</v>
      </c>
    </row>
    <row r="9" spans="1:54" x14ac:dyDescent="0.25">
      <c r="A9" s="26" t="s">
        <v>27</v>
      </c>
      <c r="B9" s="12">
        <f>'[1]IIIB June-Audited'!$D$67-'[1]IIIB June-Audited'!$D$53</f>
        <v>1133027.81</v>
      </c>
      <c r="C9" s="12">
        <f>'[2]B OMB June-Audited'!$D$29</f>
        <v>66095.340000000011</v>
      </c>
      <c r="D9" s="9">
        <f>'[3]III C1 June-Audited'!$D$69-'[3]III C1 June-Audited'!$D$54</f>
        <v>985473.75</v>
      </c>
      <c r="E9" s="9">
        <f>'[4]III C2 June-Audited'!$D$69-'[4]III C2 June-Audited'!$D$54</f>
        <v>2447277.4950000001</v>
      </c>
      <c r="F9" s="9">
        <f>'[5]IIID June-Audited'!$D$29-'[5]IIID June-Audited'!$D$15</f>
        <v>78611.25</v>
      </c>
      <c r="G9" s="9">
        <f>'[6]IIIE June-Audited'!$D$66+'[6]IIIE June-Audited'!$D$78-'[6]IIIE June-Audited'!$D$52</f>
        <v>515421.9800000001</v>
      </c>
      <c r="H9" s="9">
        <f>'[7]VII EA June-Audited'!$D$20+'[7]VII EA June-Audited'!$D$21+'[7]VII EA June-Audited'!$D$22</f>
        <v>9735.83</v>
      </c>
      <c r="I9" s="9">
        <f>'[8]VII OMB Mar'!$D$20+'[8]VII OMB Mar'!$D$21+'[8]VII OMB Mar'!$D$22+'[8]VII OMB Mar'!$D$24</f>
        <v>28964.949999999997</v>
      </c>
      <c r="J9" s="9">
        <v>0</v>
      </c>
      <c r="K9" s="9">
        <f>'[9]NSIP June'!$D$10</f>
        <v>166399.82999999999</v>
      </c>
      <c r="L9" s="9">
        <f>'[10]KYCG June-Audited'!$D$49-'[10]KYCG June-Audited'!$D$48</f>
        <v>239853.65</v>
      </c>
      <c r="M9" s="9">
        <f>'[11]SLTCO June-Audited'!$D$26</f>
        <v>298204.44</v>
      </c>
      <c r="N9" s="9">
        <f>'[12]HC June-Audited'!$D$56-'[12]HC June-Audited'!$D$49</f>
        <v>2244268.1</v>
      </c>
      <c r="O9" s="9">
        <f>'[13]SHIP June Audited'!$D$51-'[13]SHIP June Audited'!$D$50</f>
        <v>68883.34</v>
      </c>
      <c r="P9" s="9">
        <f>'[14] MIPPA SHIP July'!$C$18-'[14] MIPPA SHIP July'!$C$17+'[14] MIPPA SHIP August '!$C$18-'[14] MIPPA SHIP August '!$C$17</f>
        <v>1607.6200000000003</v>
      </c>
      <c r="Q9" s="9">
        <f>'[15] MIPPA SHIP August Final'!$D$18-'[15] MIPPA SHIP August Final'!$D$17</f>
        <v>28106.050000000003</v>
      </c>
      <c r="R9" s="9">
        <f>'[16] MIPPA AAA July'!$C$18-'[16] MIPPA AAA July'!$C$17+'[16] MIPPA AAA August'!$C$18-'[16] MIPPA AAA August'!$C$17</f>
        <v>2797.4900000000002</v>
      </c>
      <c r="S9" s="9">
        <f>'[17] MIPPA AAA June'!$D$18-'[17] MIPPA AAA June'!$D$17</f>
        <v>32641.549999999996</v>
      </c>
      <c r="T9" s="9">
        <v>0</v>
      </c>
      <c r="U9" s="9">
        <f>'[19] MIPPA ADRC June'!$D$18-'[19] MIPPA ADRC August'!$D$17</f>
        <v>5804.23</v>
      </c>
      <c r="V9" s="9">
        <f>'[20]ADRC June Est'!$E$41</f>
        <v>95270</v>
      </c>
      <c r="W9" s="9">
        <f>'[21]ESMP June-Final'!$D$61-'[21]ESMP June-Final'!$D$50</f>
        <v>664549.43499999982</v>
      </c>
      <c r="X9" s="9">
        <f>'[22]INNU Apr'!$D$43-'[22]INNU Apr'!$D$42</f>
        <v>4160.76</v>
      </c>
      <c r="Y9" s="9">
        <f>[23]August!$I$15</f>
        <v>4368</v>
      </c>
      <c r="Z9" s="9">
        <v>0.45</v>
      </c>
      <c r="AA9" s="10">
        <f>79889.06-AA7-AA11</f>
        <v>68173.849999999991</v>
      </c>
      <c r="AB9" s="10">
        <v>0</v>
      </c>
      <c r="AC9" s="10">
        <v>0</v>
      </c>
      <c r="AD9" s="10">
        <v>0</v>
      </c>
      <c r="AE9" s="10">
        <v>16.3</v>
      </c>
      <c r="AF9" s="10">
        <v>20.16</v>
      </c>
      <c r="AG9" s="10">
        <v>0</v>
      </c>
      <c r="AH9" s="10">
        <v>0</v>
      </c>
      <c r="AI9" s="10">
        <v>0</v>
      </c>
      <c r="AJ9" s="10">
        <v>0</v>
      </c>
      <c r="AK9" s="10">
        <v>0</v>
      </c>
      <c r="AL9" s="10">
        <v>0</v>
      </c>
      <c r="AM9" s="10">
        <f>35.28</f>
        <v>35.28</v>
      </c>
      <c r="AN9" s="10">
        <v>0</v>
      </c>
      <c r="AO9" s="10">
        <f>119544.68-AO7-AO11</f>
        <v>3447.0899999999929</v>
      </c>
      <c r="AP9" s="10">
        <v>0.69</v>
      </c>
      <c r="AQ9" s="10">
        <f>251456.37-AQ7-AQ11</f>
        <v>26889.98000000001</v>
      </c>
      <c r="AR9" s="10">
        <f>179923.41-AR7-AR11</f>
        <v>6006.5099999999948</v>
      </c>
      <c r="AS9" s="10">
        <f>110142.68-AS7-AS11</f>
        <v>2124.0499999999956</v>
      </c>
      <c r="AT9" s="10">
        <f>539.53+362.76</f>
        <v>902.29</v>
      </c>
      <c r="AU9" s="10">
        <v>0</v>
      </c>
      <c r="AV9" s="10">
        <f>((1858290.19)*(SUM(AV4:AV5)/2512788))-AV7-AV11</f>
        <v>193548.79399053933</v>
      </c>
      <c r="AW9" s="10">
        <f>(776943.9*(1380000/SUM(AW4:AW5))-AW7-AW11)</f>
        <v>464576.05024360301</v>
      </c>
      <c r="AX9" s="10">
        <v>519186.1</v>
      </c>
      <c r="AY9" s="10">
        <f>AY6</f>
        <v>45904.567583333337</v>
      </c>
      <c r="AZ9" s="10">
        <f>AZ6</f>
        <v>38251.907140000003</v>
      </c>
      <c r="BA9" s="10">
        <f>BA6</f>
        <v>19125.798640000001</v>
      </c>
      <c r="BB9" s="10">
        <v>147930.67000000001</v>
      </c>
    </row>
    <row r="10" spans="1:54" x14ac:dyDescent="0.25">
      <c r="A10" s="27" t="s">
        <v>28</v>
      </c>
      <c r="B10" s="11">
        <f>B9/B6</f>
        <v>0.56664235998979795</v>
      </c>
      <c r="C10" s="11">
        <f t="shared" ref="C10:AZ10" si="12">C9/C6</f>
        <v>0.68371976395626299</v>
      </c>
      <c r="D10" s="11">
        <f t="shared" si="12"/>
        <v>0.80653771267832486</v>
      </c>
      <c r="E10" s="11">
        <f t="shared" si="12"/>
        <v>0.93799032584377218</v>
      </c>
      <c r="F10" s="11">
        <f t="shared" si="12"/>
        <v>0.39484093100815687</v>
      </c>
      <c r="G10" s="11">
        <f t="shared" si="12"/>
        <v>0.57110422503480973</v>
      </c>
      <c r="H10" s="11">
        <f t="shared" si="12"/>
        <v>0.76622370880472213</v>
      </c>
      <c r="I10" s="11">
        <f t="shared" si="12"/>
        <v>0.87655701488923854</v>
      </c>
      <c r="J10" s="11">
        <v>0</v>
      </c>
      <c r="K10" s="11">
        <f t="shared" si="12"/>
        <v>0.74997883921726283</v>
      </c>
      <c r="L10" s="11">
        <f t="shared" si="12"/>
        <v>0.81680810552816241</v>
      </c>
      <c r="M10" s="11">
        <f t="shared" si="12"/>
        <v>0.99999989939788636</v>
      </c>
      <c r="N10" s="11">
        <f t="shared" si="12"/>
        <v>0.79391493036209737</v>
      </c>
      <c r="O10" s="11">
        <f t="shared" si="12"/>
        <v>0.73594947409087719</v>
      </c>
      <c r="P10" s="11">
        <f t="shared" si="12"/>
        <v>0.72774928362222391</v>
      </c>
      <c r="Q10" s="11">
        <f t="shared" si="12"/>
        <v>0.65238498676941648</v>
      </c>
      <c r="R10" s="11">
        <f t="shared" si="12"/>
        <v>0.53680716129217942</v>
      </c>
      <c r="S10" s="11">
        <f t="shared" si="12"/>
        <v>0.76261740105602527</v>
      </c>
      <c r="T10" s="11">
        <v>0</v>
      </c>
      <c r="U10" s="11">
        <f t="shared" si="12"/>
        <v>0.62484982237054576</v>
      </c>
      <c r="V10" s="11">
        <f t="shared" si="12"/>
        <v>0.59543749999999995</v>
      </c>
      <c r="W10" s="11">
        <f t="shared" si="12"/>
        <v>0.90358286103565666</v>
      </c>
      <c r="X10" s="11">
        <f t="shared" si="12"/>
        <v>0.88857851271438926</v>
      </c>
      <c r="Y10" s="11">
        <f t="shared" si="12"/>
        <v>1</v>
      </c>
      <c r="Z10" s="11">
        <f t="shared" si="12"/>
        <v>4.1288191577208919E-5</v>
      </c>
      <c r="AA10" s="11">
        <f t="shared" si="12"/>
        <v>1.8404970168192001</v>
      </c>
      <c r="AB10" s="11">
        <f>AB9/AB6</f>
        <v>0</v>
      </c>
      <c r="AC10" s="11">
        <f>AC9/AC6</f>
        <v>0</v>
      </c>
      <c r="AD10" s="11">
        <f>AD9/AD6</f>
        <v>0</v>
      </c>
      <c r="AE10" s="11">
        <f t="shared" si="12"/>
        <v>1.3494494577365676E-3</v>
      </c>
      <c r="AF10" s="11">
        <f t="shared" si="12"/>
        <v>4.3268302105466485E-4</v>
      </c>
      <c r="AG10" s="11">
        <f>AG9/AG6</f>
        <v>0</v>
      </c>
      <c r="AH10" s="11">
        <f t="shared" ref="AH10" si="13">AH9/AH6</f>
        <v>0</v>
      </c>
      <c r="AI10" s="11">
        <f t="shared" si="12"/>
        <v>0</v>
      </c>
      <c r="AJ10" s="11">
        <f>AJ9/AJ6</f>
        <v>0</v>
      </c>
      <c r="AK10" s="11">
        <f>AK9/AK6</f>
        <v>0</v>
      </c>
      <c r="AL10" s="11">
        <f>AL9/AL6</f>
        <v>0</v>
      </c>
      <c r="AM10" s="11">
        <f t="shared" si="12"/>
        <v>3.9698435917632502E-3</v>
      </c>
      <c r="AN10" s="11" t="e">
        <f t="shared" ref="AN10" si="14">AN9/AN6</f>
        <v>#DIV/0!</v>
      </c>
      <c r="AO10" s="11">
        <f t="shared" si="12"/>
        <v>2.8835160209555063E-2</v>
      </c>
      <c r="AP10" s="11">
        <f t="shared" si="12"/>
        <v>5.4369023839635013E-5</v>
      </c>
      <c r="AQ10" s="11">
        <f t="shared" si="12"/>
        <v>0.1069369608731726</v>
      </c>
      <c r="AR10" s="11">
        <f t="shared" si="12"/>
        <v>3.3383704766378065E-2</v>
      </c>
      <c r="AS10" s="11">
        <f t="shared" si="12"/>
        <v>1.9284531663838176E-2</v>
      </c>
      <c r="AT10" s="11">
        <f t="shared" si="12"/>
        <v>9.6932377986104663E-3</v>
      </c>
      <c r="AU10" s="11">
        <f t="shared" si="12"/>
        <v>0</v>
      </c>
      <c r="AV10" s="11">
        <f t="shared" si="12"/>
        <v>0.10262333312639187</v>
      </c>
      <c r="AW10" s="11">
        <f t="shared" si="12"/>
        <v>0.38041027655566267</v>
      </c>
      <c r="AX10" s="11">
        <f t="shared" si="12"/>
        <v>0.8572732301341589</v>
      </c>
      <c r="AY10" s="11">
        <f t="shared" si="12"/>
        <v>1</v>
      </c>
      <c r="AZ10" s="11">
        <f t="shared" si="12"/>
        <v>1</v>
      </c>
      <c r="BA10" s="11">
        <f t="shared" ref="BA10:BB10" si="15">BA9/BA6</f>
        <v>1</v>
      </c>
      <c r="BB10" s="11">
        <f t="shared" si="15"/>
        <v>0.93461378569623466</v>
      </c>
    </row>
    <row r="11" spans="1:54" x14ac:dyDescent="0.25">
      <c r="A11" s="26" t="s">
        <v>29</v>
      </c>
      <c r="B11" s="12">
        <f>'[1]IIIB June-Audited'!$D$15+'[1]IIIB June-Audited'!$D$53</f>
        <v>53979.02</v>
      </c>
      <c r="C11" s="12">
        <v>0</v>
      </c>
      <c r="D11" s="9">
        <f>'[3]III C1 June-Audited'!$D$54+'[3]III C1 June-Audited'!$D$15</f>
        <v>39829.840000000004</v>
      </c>
      <c r="E11" s="9">
        <f>'[4]III C2 June-Audited'!$D$54+'[4]III C2 June-Audited'!$D$15</f>
        <v>78513.960000000006</v>
      </c>
      <c r="F11" s="9">
        <f>'[5]IIID June-Audited'!$D$15</f>
        <v>899.35</v>
      </c>
      <c r="G11" s="9">
        <f>'[6]IIIE June-Audited'!$D$52+'[6]IIIE June-Audited'!$D$15</f>
        <v>43358.68</v>
      </c>
      <c r="H11" s="9">
        <v>0</v>
      </c>
      <c r="I11" s="9">
        <v>0</v>
      </c>
      <c r="J11" s="9"/>
      <c r="K11" s="9"/>
      <c r="L11" s="9">
        <f>'[10]KYCG June-Audited'!$D$48+'[10]KYCG June-Audited'!$D$15</f>
        <v>33074.14</v>
      </c>
      <c r="M11" s="9">
        <v>0</v>
      </c>
      <c r="N11" s="9">
        <f>'[12]HC June-Audited'!$D$49+'[12]HC June-Audited'!$D$15</f>
        <v>297375.86</v>
      </c>
      <c r="O11" s="9">
        <f>'[13]SHIP June Audited'!$D$50+'[13]SHIP June Audited'!$D$16</f>
        <v>21161.26</v>
      </c>
      <c r="P11" s="9">
        <f>'[14] MIPPA SHIP July'!$C$17+'[14] MIPPA SHIP August '!$C$17</f>
        <v>584.01</v>
      </c>
      <c r="Q11" s="9">
        <f>'[15] MIPPA SHIP August Final'!$D$17</f>
        <v>8239.81</v>
      </c>
      <c r="R11" s="9">
        <f>'[16] MIPPA AAA July'!$C$17+'[16] MIPPA AAA August'!$C$17</f>
        <v>1016.26</v>
      </c>
      <c r="S11" s="9">
        <f>'[17] MIPPA AAA June'!$D$17</f>
        <v>9785.43</v>
      </c>
      <c r="T11" s="9">
        <v>0</v>
      </c>
      <c r="U11" s="9">
        <f>'[19] MIPPA ADRC August'!$D$17</f>
        <v>2222.56</v>
      </c>
      <c r="V11" s="9">
        <v>0</v>
      </c>
      <c r="W11" s="9">
        <f>'[21]ESMP June-Final'!$D$50+'[21]ESMP June-Final'!$D$15</f>
        <v>31738.11</v>
      </c>
      <c r="X11" s="9">
        <f>'[22]INNU Apr'!$D$42</f>
        <v>473.79999999999995</v>
      </c>
      <c r="Y11" s="9">
        <v>0</v>
      </c>
      <c r="Z11" s="9">
        <v>2002.67</v>
      </c>
      <c r="AA11" s="9">
        <v>2857.21</v>
      </c>
      <c r="AB11" s="9">
        <v>3864.66</v>
      </c>
      <c r="AC11" s="9">
        <v>991.23</v>
      </c>
      <c r="AD11" s="9">
        <v>3924.43</v>
      </c>
      <c r="AE11" s="9">
        <v>8393.67</v>
      </c>
      <c r="AF11" s="9">
        <v>10878.81</v>
      </c>
      <c r="AG11" s="9">
        <v>7149.08</v>
      </c>
      <c r="AH11" s="9">
        <v>1005.8</v>
      </c>
      <c r="AI11" s="9">
        <v>4086.26</v>
      </c>
      <c r="AJ11" s="9">
        <f>134.89</f>
        <v>134.88999999999999</v>
      </c>
      <c r="AK11" s="9">
        <v>40.46</v>
      </c>
      <c r="AL11" s="9">
        <v>0</v>
      </c>
      <c r="AM11" s="9">
        <f>2785.28</f>
        <v>2785.28</v>
      </c>
      <c r="AN11" s="9">
        <f>118.35</f>
        <v>118.35</v>
      </c>
      <c r="AO11" s="9">
        <v>28314.95</v>
      </c>
      <c r="AP11" s="9">
        <v>3095.04</v>
      </c>
      <c r="AQ11" s="9">
        <f>54769.31</f>
        <v>54769.31</v>
      </c>
      <c r="AR11" s="9">
        <f>42416.45</f>
        <v>42416.45</v>
      </c>
      <c r="AS11" s="9">
        <v>26344.57</v>
      </c>
      <c r="AT11" s="9">
        <f>22482.24</f>
        <v>22482.240000000002</v>
      </c>
      <c r="AU11" s="9">
        <v>4119.2700000000004</v>
      </c>
      <c r="AV11" s="9">
        <f>(390325.02)*(SUM(AV4:AV5)/2512788)</f>
        <v>292964.43040881254</v>
      </c>
      <c r="AW11" s="9">
        <f>89217.338*(1380000/SUM(AW4:AW5))</f>
        <v>100814.67876356193</v>
      </c>
      <c r="AX11" s="9">
        <v>0</v>
      </c>
      <c r="AY11" s="9">
        <v>0</v>
      </c>
      <c r="AZ11" s="9">
        <v>0</v>
      </c>
      <c r="BA11" s="9">
        <v>0</v>
      </c>
      <c r="BB11" s="9">
        <v>0</v>
      </c>
    </row>
    <row r="12" spans="1:54" ht="30" x14ac:dyDescent="0.25">
      <c r="A12" s="27" t="s">
        <v>30</v>
      </c>
      <c r="B12" s="11">
        <f>B11/B6</f>
        <v>2.6995629774291683E-2</v>
      </c>
      <c r="C12" s="11">
        <f t="shared" ref="C12:AZ12" si="16">C11/C6</f>
        <v>0</v>
      </c>
      <c r="D12" s="11">
        <f t="shared" si="16"/>
        <v>3.2597791721944554E-2</v>
      </c>
      <c r="E12" s="11">
        <f t="shared" si="16"/>
        <v>3.0092760250584046E-2</v>
      </c>
      <c r="F12" s="11">
        <f t="shared" si="16"/>
        <v>4.5171675975408847E-3</v>
      </c>
      <c r="G12" s="11">
        <f t="shared" si="16"/>
        <v>4.8042819865641545E-2</v>
      </c>
      <c r="H12" s="11">
        <f t="shared" si="16"/>
        <v>0</v>
      </c>
      <c r="I12" s="11">
        <f t="shared" si="16"/>
        <v>0</v>
      </c>
      <c r="J12" s="11">
        <v>0</v>
      </c>
      <c r="K12" s="11">
        <f t="shared" si="16"/>
        <v>0</v>
      </c>
      <c r="L12" s="11">
        <f t="shared" si="16"/>
        <v>0.11263212227695187</v>
      </c>
      <c r="M12" s="11">
        <f t="shared" si="16"/>
        <v>0</v>
      </c>
      <c r="N12" s="11">
        <f t="shared" si="16"/>
        <v>0.10519738492173407</v>
      </c>
      <c r="O12" s="11">
        <f t="shared" si="16"/>
        <v>0.22608686175932113</v>
      </c>
      <c r="P12" s="11">
        <f t="shared" si="16"/>
        <v>0.26437395598973318</v>
      </c>
      <c r="Q12" s="11">
        <f t="shared" si="16"/>
        <v>0.19125876236015041</v>
      </c>
      <c r="R12" s="11">
        <f t="shared" si="16"/>
        <v>0.19500897080411017</v>
      </c>
      <c r="S12" s="11">
        <f t="shared" si="16"/>
        <v>0.22862085883837205</v>
      </c>
      <c r="T12" s="11">
        <v>0</v>
      </c>
      <c r="U12" s="11">
        <f t="shared" si="16"/>
        <v>0.23926795134029497</v>
      </c>
      <c r="V12" s="11">
        <f t="shared" si="16"/>
        <v>0</v>
      </c>
      <c r="W12" s="11">
        <f t="shared" si="16"/>
        <v>4.3154069098959344E-2</v>
      </c>
      <c r="X12" s="11">
        <f t="shared" si="16"/>
        <v>0.10118548037475787</v>
      </c>
      <c r="Y12" s="11">
        <f t="shared" si="16"/>
        <v>0</v>
      </c>
      <c r="Z12" s="11">
        <f t="shared" ref="Z12" si="17">Z11/Z6</f>
        <v>0.1837480502798422</v>
      </c>
      <c r="AA12" s="11">
        <f t="shared" si="16"/>
        <v>7.7136416403444832E-2</v>
      </c>
      <c r="AB12" s="11">
        <f>AB11/AB6</f>
        <v>0.52846437850403394</v>
      </c>
      <c r="AC12" s="11">
        <f>AC11/AC6</f>
        <v>0.14065985525755642</v>
      </c>
      <c r="AD12" s="11">
        <f>AD11/AD6</f>
        <v>0.31735646126475819</v>
      </c>
      <c r="AE12" s="11">
        <f t="shared" si="16"/>
        <v>0.69489775643679108</v>
      </c>
      <c r="AF12" s="11">
        <f t="shared" si="16"/>
        <v>0.23348593136308027</v>
      </c>
      <c r="AG12" s="11">
        <f t="shared" si="16"/>
        <v>0.30670899652494743</v>
      </c>
      <c r="AH12" s="11">
        <f t="shared" si="16"/>
        <v>0.24621787025703792</v>
      </c>
      <c r="AI12" s="11">
        <f t="shared" si="16"/>
        <v>0.32797656312705675</v>
      </c>
      <c r="AJ12" s="11">
        <f>AJ11/AJ6</f>
        <v>0.6677722772277227</v>
      </c>
      <c r="AK12" s="11">
        <f>AK11/AK6</f>
        <v>5.7414502625230592E-3</v>
      </c>
      <c r="AL12" s="11">
        <f>AL11/AL6</f>
        <v>0</v>
      </c>
      <c r="AM12" s="11">
        <f t="shared" si="16"/>
        <v>0.31341059975244739</v>
      </c>
      <c r="AN12" s="11" t="e">
        <f t="shared" ref="AN12" si="18">AN11/AN6</f>
        <v>#DIV/0!</v>
      </c>
      <c r="AO12" s="11">
        <f t="shared" si="16"/>
        <v>0.23685662967185159</v>
      </c>
      <c r="AP12" s="11">
        <f t="shared" si="16"/>
        <v>0.24387580223858543</v>
      </c>
      <c r="AQ12" s="11">
        <f t="shared" si="16"/>
        <v>0.21780840151315314</v>
      </c>
      <c r="AR12" s="11">
        <f t="shared" si="16"/>
        <v>0.23574725490140497</v>
      </c>
      <c r="AS12" s="11">
        <f t="shared" si="16"/>
        <v>0.23918584512379762</v>
      </c>
      <c r="AT12" s="11">
        <f t="shared" si="16"/>
        <v>0.24152511782845004</v>
      </c>
      <c r="AU12" s="11">
        <f t="shared" si="16"/>
        <v>0.18809452054794523</v>
      </c>
      <c r="AV12" s="11">
        <f t="shared" si="16"/>
        <v>0.1553354361768681</v>
      </c>
      <c r="AW12" s="11">
        <f t="shared" si="16"/>
        <v>8.2550402262896158E-2</v>
      </c>
      <c r="AX12" s="11">
        <f t="shared" si="16"/>
        <v>0</v>
      </c>
      <c r="AY12" s="11">
        <f t="shared" si="16"/>
        <v>0</v>
      </c>
      <c r="AZ12" s="11">
        <f t="shared" si="16"/>
        <v>0</v>
      </c>
      <c r="BA12" s="11">
        <f t="shared" ref="BA12:BB12" si="19">BA11/BA6</f>
        <v>0</v>
      </c>
      <c r="BB12" s="11">
        <f t="shared" si="19"/>
        <v>0</v>
      </c>
    </row>
    <row r="13" spans="1:54" x14ac:dyDescent="0.25">
      <c r="A13" s="25" t="s">
        <v>31</v>
      </c>
      <c r="B13" s="12">
        <f>B6-B7-B9-B11</f>
        <v>731042.15999999992</v>
      </c>
      <c r="C13" s="12">
        <f t="shared" ref="C13:V13" si="20">C6-C7-C9-C11</f>
        <v>30574.87999999999</v>
      </c>
      <c r="D13" s="12">
        <f t="shared" si="20"/>
        <v>88123.46000000005</v>
      </c>
      <c r="E13" s="12">
        <f t="shared" si="20"/>
        <v>1517.9550000000309</v>
      </c>
      <c r="F13" s="12">
        <f t="shared" si="20"/>
        <v>119585.4</v>
      </c>
      <c r="G13" s="12">
        <f t="shared" si="20"/>
        <v>309278.62999999995</v>
      </c>
      <c r="H13" s="12">
        <f t="shared" si="20"/>
        <v>2970.42</v>
      </c>
      <c r="I13" s="12">
        <f t="shared" si="20"/>
        <v>4079.0500000000029</v>
      </c>
      <c r="J13" s="12">
        <f t="shared" si="20"/>
        <v>0</v>
      </c>
      <c r="K13" s="12">
        <f t="shared" si="20"/>
        <v>55472.870000000024</v>
      </c>
      <c r="L13" s="12">
        <f t="shared" si="20"/>
        <v>6029.1899999999878</v>
      </c>
      <c r="M13" s="12">
        <f t="shared" si="20"/>
        <v>2.9999999969732016E-2</v>
      </c>
      <c r="N13" s="12">
        <f t="shared" si="20"/>
        <v>849.68999999982771</v>
      </c>
      <c r="O13" s="12">
        <f t="shared" si="20"/>
        <v>0</v>
      </c>
      <c r="P13" s="12">
        <f t="shared" si="20"/>
        <v>17.399999999998499</v>
      </c>
      <c r="Q13" s="12">
        <f t="shared" si="20"/>
        <v>6736.1399999999976</v>
      </c>
      <c r="R13" s="12">
        <f t="shared" si="20"/>
        <v>1397.600000000002</v>
      </c>
      <c r="S13" s="12">
        <f t="shared" si="20"/>
        <v>375.02000000000407</v>
      </c>
      <c r="T13" s="12">
        <f t="shared" si="20"/>
        <v>2.6600000000003092</v>
      </c>
      <c r="U13" s="12">
        <f t="shared" si="20"/>
        <v>1262.2100000000005</v>
      </c>
      <c r="V13" s="12">
        <f t="shared" si="20"/>
        <v>64730</v>
      </c>
      <c r="W13" s="12">
        <f t="shared" ref="W13:Y13" si="21">W6-W7-W9-W11</f>
        <v>0</v>
      </c>
      <c r="X13" s="12">
        <f t="shared" si="21"/>
        <v>47.929999999999609</v>
      </c>
      <c r="Y13" s="12">
        <f t="shared" si="21"/>
        <v>0</v>
      </c>
      <c r="Z13" s="12">
        <f t="shared" ref="Z13" si="22">Z6-Z7-Z9-Z11</f>
        <v>2687.1499999999996</v>
      </c>
      <c r="AA13" s="12">
        <f>AA6-AA7-AA9-AA11</f>
        <v>-42848.05999999999</v>
      </c>
      <c r="AB13" s="12">
        <f>AB6-AB7-AB9-AB11</f>
        <v>-8532.9699999999993</v>
      </c>
      <c r="AC13" s="12">
        <f>AC6-AC7-AC9-AC11</f>
        <v>2982.75</v>
      </c>
      <c r="AD13" s="12">
        <f>AD6-AD7-AD9-AD11</f>
        <v>-3725.0400000000004</v>
      </c>
      <c r="AE13" s="12">
        <f t="shared" ref="AE13:AZ13" si="23">AE6-AE7-AE9-AE11</f>
        <v>-22353.279999999999</v>
      </c>
      <c r="AF13" s="12">
        <f t="shared" si="23"/>
        <v>1967.2500000000018</v>
      </c>
      <c r="AG13" s="12">
        <f>AG6-AG7-AG9-AG11</f>
        <v>-6003.83</v>
      </c>
      <c r="AH13" s="12">
        <f t="shared" ref="AH13" si="24">AH6-AH7-AH9-AH11</f>
        <v>-39.009999999999991</v>
      </c>
      <c r="AI13" s="12">
        <f t="shared" si="23"/>
        <v>-4295.58</v>
      </c>
      <c r="AJ13" s="12">
        <f>AJ6-AJ7-AJ9-AJ11</f>
        <v>-351.07999999999993</v>
      </c>
      <c r="AK13" s="12">
        <f>AK6-AK7-AK9-AK11</f>
        <v>6881.12</v>
      </c>
      <c r="AL13" s="12">
        <f>AL6-AL7-AL9-AL11</f>
        <v>7127</v>
      </c>
      <c r="AM13" s="12">
        <f t="shared" si="23"/>
        <v>-2568.5600000000004</v>
      </c>
      <c r="AN13" s="12">
        <f t="shared" ref="AN13" si="25">AN6-AN7-AN9-AN11</f>
        <v>-485.25</v>
      </c>
      <c r="AO13" s="12">
        <f>AO6-AO7-AO9-AO11</f>
        <v>0</v>
      </c>
      <c r="AP13" s="12">
        <f t="shared" si="23"/>
        <v>0</v>
      </c>
      <c r="AQ13" s="12">
        <f t="shared" si="23"/>
        <v>0</v>
      </c>
      <c r="AR13" s="12">
        <f t="shared" si="23"/>
        <v>0</v>
      </c>
      <c r="AS13" s="12">
        <f t="shared" si="23"/>
        <v>0</v>
      </c>
      <c r="AT13" s="12">
        <f t="shared" si="23"/>
        <v>0</v>
      </c>
      <c r="AU13" s="12">
        <f t="shared" si="23"/>
        <v>5010.0899999999983</v>
      </c>
      <c r="AV13" s="9">
        <f t="shared" si="23"/>
        <v>491243.36971907463</v>
      </c>
      <c r="AW13" s="12">
        <f t="shared" si="23"/>
        <v>343311.34534288628</v>
      </c>
      <c r="AX13" s="12">
        <f t="shared" si="23"/>
        <v>86438.900000000023</v>
      </c>
      <c r="AY13" s="12">
        <f t="shared" si="23"/>
        <v>0</v>
      </c>
      <c r="AZ13" s="12">
        <f t="shared" si="23"/>
        <v>0</v>
      </c>
      <c r="BA13" s="12">
        <f t="shared" ref="BA13:BB13" si="26">BA6-BA7-BA9-BA11</f>
        <v>0</v>
      </c>
      <c r="BB13" s="12">
        <f t="shared" si="26"/>
        <v>10349.329999999987</v>
      </c>
    </row>
    <row r="14" spans="1:54" s="17" customFormat="1" ht="409.5" customHeight="1" x14ac:dyDescent="0.25">
      <c r="A14" s="28" t="s">
        <v>32</v>
      </c>
      <c r="B14" s="36" t="s">
        <v>152</v>
      </c>
      <c r="C14" s="36" t="s">
        <v>152</v>
      </c>
      <c r="D14" s="36" t="s">
        <v>152</v>
      </c>
      <c r="E14" s="36" t="s">
        <v>152</v>
      </c>
      <c r="F14" s="36" t="s">
        <v>151</v>
      </c>
      <c r="G14" s="36" t="s">
        <v>152</v>
      </c>
      <c r="H14" s="36" t="s">
        <v>152</v>
      </c>
      <c r="I14" s="36" t="s">
        <v>152</v>
      </c>
      <c r="J14" s="36" t="s">
        <v>153</v>
      </c>
      <c r="K14" s="36" t="s">
        <v>110</v>
      </c>
      <c r="L14" s="36" t="s">
        <v>169</v>
      </c>
      <c r="M14" s="36" t="s">
        <v>110</v>
      </c>
      <c r="N14" s="36" t="s">
        <v>170</v>
      </c>
      <c r="O14" s="36"/>
      <c r="P14" s="36" t="s">
        <v>110</v>
      </c>
      <c r="Q14" s="36" t="s">
        <v>33</v>
      </c>
      <c r="R14" s="36" t="s">
        <v>111</v>
      </c>
      <c r="S14" s="36" t="s">
        <v>33</v>
      </c>
      <c r="T14" s="36" t="s">
        <v>110</v>
      </c>
      <c r="U14" s="36" t="s">
        <v>33</v>
      </c>
      <c r="V14" s="36" t="s">
        <v>34</v>
      </c>
      <c r="W14" s="59"/>
      <c r="X14" s="36" t="s">
        <v>110</v>
      </c>
      <c r="Y14" s="36"/>
      <c r="Z14" s="36" t="s">
        <v>134</v>
      </c>
      <c r="AA14" s="36" t="s">
        <v>135</v>
      </c>
      <c r="AB14" s="36" t="s">
        <v>136</v>
      </c>
      <c r="AC14" s="36" t="s">
        <v>137</v>
      </c>
      <c r="AD14" s="36" t="s">
        <v>138</v>
      </c>
      <c r="AE14" s="36" t="s">
        <v>140</v>
      </c>
      <c r="AF14" s="36" t="s">
        <v>139</v>
      </c>
      <c r="AG14" s="36" t="s">
        <v>141</v>
      </c>
      <c r="AH14" s="36" t="s">
        <v>142</v>
      </c>
      <c r="AI14" s="36" t="s">
        <v>143</v>
      </c>
      <c r="AJ14" s="36" t="s">
        <v>144</v>
      </c>
      <c r="AK14" s="36" t="s">
        <v>145</v>
      </c>
      <c r="AL14" s="36" t="s">
        <v>146</v>
      </c>
      <c r="AM14" s="36" t="s">
        <v>148</v>
      </c>
      <c r="AN14" s="36" t="s">
        <v>147</v>
      </c>
      <c r="AO14" s="36" t="s">
        <v>149</v>
      </c>
      <c r="AP14" s="36" t="s">
        <v>149</v>
      </c>
      <c r="AQ14" s="36" t="s">
        <v>149</v>
      </c>
      <c r="AR14" s="36" t="s">
        <v>149</v>
      </c>
      <c r="AS14" s="36" t="s">
        <v>149</v>
      </c>
      <c r="AT14" s="36" t="s">
        <v>149</v>
      </c>
      <c r="AU14" s="36" t="s">
        <v>150</v>
      </c>
      <c r="AV14" s="36" t="s">
        <v>187</v>
      </c>
      <c r="AW14" s="36" t="s">
        <v>188</v>
      </c>
      <c r="AX14" s="36" t="s">
        <v>189</v>
      </c>
      <c r="AY14" s="36" t="s">
        <v>149</v>
      </c>
      <c r="AZ14" s="36" t="s">
        <v>149</v>
      </c>
      <c r="BA14" s="36" t="s">
        <v>149</v>
      </c>
      <c r="BB14" s="36" t="s">
        <v>190</v>
      </c>
    </row>
    <row r="15" spans="1:54" s="17" customFormat="1" x14ac:dyDescent="0.25">
      <c r="A15" s="29"/>
      <c r="B15" s="37"/>
      <c r="C15" s="37"/>
      <c r="D15" s="37"/>
      <c r="E15" s="37"/>
      <c r="F15" s="37"/>
      <c r="G15" s="60"/>
      <c r="H15" s="37"/>
      <c r="I15" s="37"/>
      <c r="J15" s="37"/>
      <c r="K15" s="37"/>
      <c r="L15" s="37"/>
      <c r="M15" s="37"/>
      <c r="N15" s="37"/>
      <c r="O15" s="37"/>
      <c r="P15" s="37"/>
      <c r="Q15" s="37"/>
      <c r="R15" s="37"/>
      <c r="S15" s="37"/>
      <c r="T15" s="37"/>
      <c r="U15" s="37"/>
      <c r="V15" s="37"/>
      <c r="W15" s="37"/>
      <c r="X15" s="37"/>
      <c r="Y15" s="37"/>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row>
    <row r="16" spans="1:54" s="17" customFormat="1" ht="409.5" x14ac:dyDescent="0.25">
      <c r="A16" s="28" t="s">
        <v>35</v>
      </c>
      <c r="B16" s="36" t="s">
        <v>36</v>
      </c>
      <c r="C16" s="36" t="s">
        <v>23</v>
      </c>
      <c r="D16" s="59"/>
      <c r="E16" s="36" t="s">
        <v>23</v>
      </c>
      <c r="F16" s="36" t="s">
        <v>154</v>
      </c>
      <c r="G16" s="36" t="s">
        <v>37</v>
      </c>
      <c r="H16" s="36" t="s">
        <v>23</v>
      </c>
      <c r="I16" s="36" t="s">
        <v>23</v>
      </c>
      <c r="J16" s="36" t="s">
        <v>23</v>
      </c>
      <c r="K16" s="36" t="s">
        <v>23</v>
      </c>
      <c r="L16" s="36" t="s">
        <v>38</v>
      </c>
      <c r="M16" s="36" t="s">
        <v>23</v>
      </c>
      <c r="N16" s="36" t="s">
        <v>39</v>
      </c>
      <c r="O16" s="36" t="s">
        <v>40</v>
      </c>
      <c r="P16" s="36" t="s">
        <v>41</v>
      </c>
      <c r="Q16" s="36" t="s">
        <v>41</v>
      </c>
      <c r="R16" s="36" t="s">
        <v>42</v>
      </c>
      <c r="S16" s="36" t="s">
        <v>42</v>
      </c>
      <c r="T16" s="36" t="s">
        <v>43</v>
      </c>
      <c r="U16" s="36" t="s">
        <v>43</v>
      </c>
      <c r="V16" s="36" t="s">
        <v>44</v>
      </c>
      <c r="W16" s="36" t="s">
        <v>112</v>
      </c>
      <c r="X16" s="36" t="s">
        <v>172</v>
      </c>
      <c r="Y16" s="36" t="s">
        <v>113</v>
      </c>
      <c r="Z16" s="36" t="s">
        <v>173</v>
      </c>
      <c r="AA16" s="36" t="s">
        <v>174</v>
      </c>
      <c r="AB16" s="16" t="s">
        <v>175</v>
      </c>
      <c r="AC16" s="16" t="s">
        <v>176</v>
      </c>
      <c r="AD16" s="16" t="s">
        <v>177</v>
      </c>
      <c r="AE16" s="36" t="s">
        <v>89</v>
      </c>
      <c r="AF16" s="36" t="s">
        <v>90</v>
      </c>
      <c r="AG16" s="36" t="s">
        <v>88</v>
      </c>
      <c r="AH16" s="36" t="s">
        <v>91</v>
      </c>
      <c r="AI16" s="16" t="s">
        <v>178</v>
      </c>
      <c r="AJ16" s="36" t="s">
        <v>179</v>
      </c>
      <c r="AK16" s="36" t="s">
        <v>180</v>
      </c>
      <c r="AL16" s="36" t="s">
        <v>181</v>
      </c>
      <c r="AM16" s="36" t="s">
        <v>182</v>
      </c>
      <c r="AN16" s="36"/>
      <c r="AO16" s="16" t="s">
        <v>183</v>
      </c>
      <c r="AP16" s="16" t="s">
        <v>184</v>
      </c>
      <c r="AQ16" s="57" t="s">
        <v>185</v>
      </c>
      <c r="AR16" s="58"/>
      <c r="AS16" s="36" t="s">
        <v>186</v>
      </c>
      <c r="AT16" s="36" t="s">
        <v>92</v>
      </c>
      <c r="AU16" s="36" t="s">
        <v>104</v>
      </c>
      <c r="AV16" s="36" t="s">
        <v>191</v>
      </c>
      <c r="AW16" s="36" t="s">
        <v>93</v>
      </c>
      <c r="AX16" s="36" t="s">
        <v>123</v>
      </c>
      <c r="AY16" s="36"/>
      <c r="AZ16" s="36"/>
      <c r="BA16" s="36"/>
      <c r="BB16" s="36" t="s">
        <v>192</v>
      </c>
    </row>
    <row r="17" spans="1:54" s="17" customFormat="1" x14ac:dyDescent="0.25">
      <c r="A17" s="29"/>
      <c r="B17" s="37"/>
      <c r="C17" s="37"/>
      <c r="D17" s="37"/>
      <c r="E17" s="37"/>
      <c r="F17" s="37"/>
      <c r="G17" s="37"/>
      <c r="H17" s="37"/>
      <c r="I17" s="37"/>
      <c r="J17" s="37"/>
      <c r="K17" s="37"/>
      <c r="L17" s="37"/>
      <c r="M17" s="37"/>
      <c r="N17" s="37"/>
      <c r="O17" s="37"/>
      <c r="P17" s="37"/>
      <c r="Q17" s="37"/>
      <c r="R17" s="37"/>
      <c r="S17" s="37"/>
      <c r="T17" s="37"/>
      <c r="U17" s="37"/>
      <c r="V17" s="37"/>
      <c r="W17" s="37"/>
      <c r="X17" s="37"/>
      <c r="Y17" s="37"/>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row>
    <row r="18" spans="1:54" s="17" customFormat="1" ht="255" x14ac:dyDescent="0.25">
      <c r="A18" s="54" t="s">
        <v>45</v>
      </c>
      <c r="B18" s="36" t="s">
        <v>46</v>
      </c>
      <c r="C18" s="36" t="s">
        <v>47</v>
      </c>
      <c r="D18" s="36" t="s">
        <v>48</v>
      </c>
      <c r="E18" s="36" t="s">
        <v>48</v>
      </c>
      <c r="F18" s="36" t="s">
        <v>49</v>
      </c>
      <c r="G18" s="36" t="s">
        <v>50</v>
      </c>
      <c r="H18" s="36" t="s">
        <v>51</v>
      </c>
      <c r="I18" s="36" t="s">
        <v>47</v>
      </c>
      <c r="J18" s="36" t="s">
        <v>52</v>
      </c>
      <c r="K18" s="36" t="s">
        <v>52</v>
      </c>
      <c r="L18" s="36" t="s">
        <v>53</v>
      </c>
      <c r="M18" s="36" t="s">
        <v>54</v>
      </c>
      <c r="N18" s="36" t="s">
        <v>55</v>
      </c>
      <c r="O18" s="36"/>
      <c r="P18" s="36"/>
      <c r="Q18" s="36"/>
      <c r="R18" s="36"/>
      <c r="S18" s="36"/>
      <c r="T18" s="36"/>
      <c r="U18" s="36"/>
      <c r="V18" s="36"/>
      <c r="W18" s="36" t="s">
        <v>48</v>
      </c>
      <c r="X18" s="36" t="s">
        <v>48</v>
      </c>
      <c r="Y18" s="36"/>
      <c r="Z18" s="48"/>
      <c r="AA18" s="42"/>
      <c r="AB18" s="48"/>
      <c r="AC18" s="48"/>
      <c r="AD18" s="42"/>
      <c r="AE18" s="48"/>
      <c r="AF18" s="48"/>
      <c r="AG18" s="48"/>
      <c r="AH18" s="48"/>
      <c r="AI18" s="48"/>
      <c r="AJ18" s="48"/>
      <c r="AK18" s="48"/>
      <c r="AL18" s="48"/>
      <c r="AM18" s="48"/>
      <c r="AN18" s="48"/>
      <c r="AO18" s="48"/>
      <c r="AP18" s="48"/>
      <c r="AQ18" s="48"/>
      <c r="AR18" s="48"/>
      <c r="AS18" s="48"/>
      <c r="AT18" s="45"/>
      <c r="AU18" s="45"/>
      <c r="AV18" s="45" t="s">
        <v>94</v>
      </c>
      <c r="AW18" s="45"/>
      <c r="AX18" s="38"/>
      <c r="AY18" s="38"/>
      <c r="AZ18" s="38"/>
      <c r="BA18" s="38"/>
      <c r="BB18" s="38"/>
    </row>
    <row r="19" spans="1:54" s="17" customFormat="1" ht="150" x14ac:dyDescent="0.25">
      <c r="A19" s="55"/>
      <c r="B19" s="36" t="s">
        <v>56</v>
      </c>
      <c r="C19" s="36"/>
      <c r="D19" s="36" t="s">
        <v>57</v>
      </c>
      <c r="E19" s="36" t="s">
        <v>57</v>
      </c>
      <c r="F19" s="36" t="s">
        <v>114</v>
      </c>
      <c r="G19" s="36" t="s">
        <v>58</v>
      </c>
      <c r="H19" s="36"/>
      <c r="I19" s="36"/>
      <c r="J19" s="36" t="s">
        <v>59</v>
      </c>
      <c r="K19" s="36" t="s">
        <v>59</v>
      </c>
      <c r="L19" s="36"/>
      <c r="M19" s="36"/>
      <c r="N19" s="36" t="s">
        <v>60</v>
      </c>
      <c r="O19" s="36"/>
      <c r="P19" s="36"/>
      <c r="Q19" s="36"/>
      <c r="R19" s="36"/>
      <c r="S19" s="36"/>
      <c r="T19" s="36"/>
      <c r="U19" s="36"/>
      <c r="V19" s="36"/>
      <c r="W19" s="36" t="s">
        <v>57</v>
      </c>
      <c r="X19" s="36" t="s">
        <v>57</v>
      </c>
      <c r="Y19" s="36"/>
      <c r="Z19" s="49"/>
      <c r="AA19" s="43"/>
      <c r="AB19" s="49"/>
      <c r="AC19" s="49"/>
      <c r="AD19" s="43"/>
      <c r="AE19" s="49"/>
      <c r="AF19" s="49"/>
      <c r="AG19" s="49"/>
      <c r="AH19" s="49"/>
      <c r="AI19" s="49"/>
      <c r="AJ19" s="49"/>
      <c r="AK19" s="49"/>
      <c r="AL19" s="49"/>
      <c r="AM19" s="49"/>
      <c r="AN19" s="49"/>
      <c r="AO19" s="49"/>
      <c r="AP19" s="49"/>
      <c r="AQ19" s="49"/>
      <c r="AR19" s="49"/>
      <c r="AS19" s="49"/>
      <c r="AT19" s="46"/>
      <c r="AU19" s="46"/>
      <c r="AV19" s="46"/>
      <c r="AW19" s="46"/>
      <c r="AX19" s="39"/>
      <c r="AY19" s="39"/>
      <c r="AZ19" s="39"/>
      <c r="BA19" s="39"/>
      <c r="BB19" s="39"/>
    </row>
    <row r="20" spans="1:54" s="17" customFormat="1" ht="90" x14ac:dyDescent="0.25">
      <c r="A20" s="55"/>
      <c r="B20" s="36" t="s">
        <v>61</v>
      </c>
      <c r="C20" s="36"/>
      <c r="D20" s="36" t="s">
        <v>62</v>
      </c>
      <c r="E20" s="36" t="s">
        <v>62</v>
      </c>
      <c r="F20" s="36" t="s">
        <v>63</v>
      </c>
      <c r="G20" s="36" t="s">
        <v>64</v>
      </c>
      <c r="H20" s="36"/>
      <c r="I20" s="36"/>
      <c r="J20" s="36"/>
      <c r="K20" s="36"/>
      <c r="L20" s="36"/>
      <c r="M20" s="36"/>
      <c r="N20" s="36" t="s">
        <v>115</v>
      </c>
      <c r="O20" s="36"/>
      <c r="P20" s="36"/>
      <c r="Q20" s="36"/>
      <c r="R20" s="36"/>
      <c r="S20" s="36"/>
      <c r="T20" s="36"/>
      <c r="U20" s="36"/>
      <c r="V20" s="36"/>
      <c r="W20" s="36" t="s">
        <v>62</v>
      </c>
      <c r="X20" s="36" t="s">
        <v>62</v>
      </c>
      <c r="Y20" s="36"/>
      <c r="Z20" s="49"/>
      <c r="AA20" s="43"/>
      <c r="AB20" s="49"/>
      <c r="AC20" s="49"/>
      <c r="AD20" s="43"/>
      <c r="AE20" s="49"/>
      <c r="AF20" s="49"/>
      <c r="AG20" s="49"/>
      <c r="AH20" s="49"/>
      <c r="AI20" s="49"/>
      <c r="AJ20" s="49"/>
      <c r="AK20" s="49"/>
      <c r="AL20" s="49"/>
      <c r="AM20" s="49"/>
      <c r="AN20" s="49"/>
      <c r="AO20" s="49"/>
      <c r="AP20" s="49"/>
      <c r="AQ20" s="49"/>
      <c r="AR20" s="49"/>
      <c r="AS20" s="49"/>
      <c r="AT20" s="46"/>
      <c r="AU20" s="46"/>
      <c r="AV20" s="46"/>
      <c r="AW20" s="46"/>
      <c r="AX20" s="39"/>
      <c r="AY20" s="39"/>
      <c r="AZ20" s="39"/>
      <c r="BA20" s="39"/>
      <c r="BB20" s="39"/>
    </row>
    <row r="21" spans="1:54" s="17" customFormat="1" ht="135" x14ac:dyDescent="0.25">
      <c r="A21" s="55"/>
      <c r="B21" s="36" t="s">
        <v>65</v>
      </c>
      <c r="C21" s="36"/>
      <c r="D21" s="36" t="s">
        <v>66</v>
      </c>
      <c r="E21" s="36" t="s">
        <v>67</v>
      </c>
      <c r="F21" s="36" t="s">
        <v>155</v>
      </c>
      <c r="G21" s="36"/>
      <c r="H21" s="36"/>
      <c r="I21" s="36"/>
      <c r="J21" s="36"/>
      <c r="K21" s="36"/>
      <c r="L21" s="36"/>
      <c r="M21" s="36"/>
      <c r="N21" s="36" t="s">
        <v>116</v>
      </c>
      <c r="O21" s="36"/>
      <c r="P21" s="36"/>
      <c r="Q21" s="36"/>
      <c r="R21" s="36"/>
      <c r="S21" s="36"/>
      <c r="T21" s="36"/>
      <c r="U21" s="36"/>
      <c r="V21" s="36"/>
      <c r="W21" s="36" t="s">
        <v>67</v>
      </c>
      <c r="X21" s="36"/>
      <c r="Y21" s="36"/>
      <c r="Z21" s="49"/>
      <c r="AA21" s="43"/>
      <c r="AB21" s="49"/>
      <c r="AC21" s="49"/>
      <c r="AD21" s="43"/>
      <c r="AE21" s="49"/>
      <c r="AF21" s="49"/>
      <c r="AG21" s="49"/>
      <c r="AH21" s="49"/>
      <c r="AI21" s="49"/>
      <c r="AJ21" s="49"/>
      <c r="AK21" s="49"/>
      <c r="AL21" s="49"/>
      <c r="AM21" s="49"/>
      <c r="AN21" s="49"/>
      <c r="AO21" s="49"/>
      <c r="AP21" s="49"/>
      <c r="AQ21" s="49"/>
      <c r="AR21" s="49"/>
      <c r="AS21" s="49"/>
      <c r="AT21" s="46"/>
      <c r="AU21" s="46"/>
      <c r="AV21" s="46"/>
      <c r="AW21" s="46"/>
      <c r="AX21" s="39"/>
      <c r="AY21" s="39"/>
      <c r="AZ21" s="39"/>
      <c r="BA21" s="39"/>
      <c r="BB21" s="39"/>
    </row>
    <row r="22" spans="1:54" s="17" customFormat="1" ht="135" x14ac:dyDescent="0.25">
      <c r="A22" s="55"/>
      <c r="B22" s="36" t="s">
        <v>65</v>
      </c>
      <c r="C22" s="36"/>
      <c r="D22" s="36" t="s">
        <v>59</v>
      </c>
      <c r="E22" s="36" t="s">
        <v>59</v>
      </c>
      <c r="F22" s="36" t="s">
        <v>156</v>
      </c>
      <c r="G22" s="36"/>
      <c r="H22" s="36"/>
      <c r="I22" s="36"/>
      <c r="J22" s="36"/>
      <c r="K22" s="36"/>
      <c r="L22" s="36"/>
      <c r="M22" s="36"/>
      <c r="N22" s="36" t="s">
        <v>117</v>
      </c>
      <c r="O22" s="36"/>
      <c r="P22" s="36"/>
      <c r="Q22" s="36"/>
      <c r="R22" s="36"/>
      <c r="S22" s="36"/>
      <c r="T22" s="36"/>
      <c r="U22" s="36"/>
      <c r="V22" s="36"/>
      <c r="W22" s="36" t="s">
        <v>59</v>
      </c>
      <c r="X22" s="36"/>
      <c r="Y22" s="36"/>
      <c r="Z22" s="49"/>
      <c r="AA22" s="43"/>
      <c r="AB22" s="49"/>
      <c r="AC22" s="49"/>
      <c r="AD22" s="43"/>
      <c r="AE22" s="49"/>
      <c r="AF22" s="49"/>
      <c r="AG22" s="49"/>
      <c r="AH22" s="49"/>
      <c r="AI22" s="49"/>
      <c r="AJ22" s="49"/>
      <c r="AK22" s="49"/>
      <c r="AL22" s="49"/>
      <c r="AM22" s="49"/>
      <c r="AN22" s="49"/>
      <c r="AO22" s="49"/>
      <c r="AP22" s="49"/>
      <c r="AQ22" s="49"/>
      <c r="AR22" s="49"/>
      <c r="AS22" s="49"/>
      <c r="AT22" s="46"/>
      <c r="AU22" s="46"/>
      <c r="AV22" s="46"/>
      <c r="AW22" s="46"/>
      <c r="AX22" s="39"/>
      <c r="AY22" s="39"/>
      <c r="AZ22" s="39"/>
      <c r="BA22" s="39"/>
      <c r="BB22" s="39"/>
    </row>
    <row r="23" spans="1:54" s="17" customFormat="1" ht="135" x14ac:dyDescent="0.25">
      <c r="A23" s="55"/>
      <c r="B23" s="36" t="s">
        <v>65</v>
      </c>
      <c r="C23" s="36"/>
      <c r="D23" s="36"/>
      <c r="E23" s="36"/>
      <c r="F23" s="36" t="s">
        <v>157</v>
      </c>
      <c r="G23" s="36"/>
      <c r="H23" s="36"/>
      <c r="I23" s="36"/>
      <c r="J23" s="36"/>
      <c r="K23" s="36"/>
      <c r="L23" s="36"/>
      <c r="M23" s="36"/>
      <c r="N23" s="36" t="s">
        <v>118</v>
      </c>
      <c r="O23" s="36"/>
      <c r="P23" s="36"/>
      <c r="Q23" s="36"/>
      <c r="R23" s="36"/>
      <c r="S23" s="36"/>
      <c r="T23" s="36"/>
      <c r="U23" s="36"/>
      <c r="V23" s="36"/>
      <c r="W23" s="36"/>
      <c r="X23" s="36"/>
      <c r="Y23" s="36"/>
      <c r="Z23" s="49"/>
      <c r="AA23" s="43"/>
      <c r="AB23" s="49"/>
      <c r="AC23" s="49"/>
      <c r="AD23" s="43"/>
      <c r="AE23" s="49"/>
      <c r="AF23" s="49"/>
      <c r="AG23" s="49"/>
      <c r="AH23" s="49"/>
      <c r="AI23" s="49"/>
      <c r="AJ23" s="49"/>
      <c r="AK23" s="49"/>
      <c r="AL23" s="49"/>
      <c r="AM23" s="49"/>
      <c r="AN23" s="49"/>
      <c r="AO23" s="49"/>
      <c r="AP23" s="49"/>
      <c r="AQ23" s="49"/>
      <c r="AR23" s="49"/>
      <c r="AS23" s="49"/>
      <c r="AT23" s="46"/>
      <c r="AU23" s="46"/>
      <c r="AV23" s="46"/>
      <c r="AW23" s="46"/>
      <c r="AX23" s="39"/>
      <c r="AY23" s="39"/>
      <c r="AZ23" s="39"/>
      <c r="BA23" s="39"/>
      <c r="BB23" s="39"/>
    </row>
    <row r="24" spans="1:54" s="17" customFormat="1" ht="165" x14ac:dyDescent="0.25">
      <c r="A24" s="55"/>
      <c r="B24" s="36" t="s">
        <v>68</v>
      </c>
      <c r="C24" s="36"/>
      <c r="D24" s="36"/>
      <c r="E24" s="36"/>
      <c r="F24" s="36" t="s">
        <v>158</v>
      </c>
      <c r="G24" s="36"/>
      <c r="H24" s="36"/>
      <c r="I24" s="36"/>
      <c r="J24" s="36"/>
      <c r="K24" s="36"/>
      <c r="L24" s="36"/>
      <c r="M24" s="36"/>
      <c r="N24" s="36" t="s">
        <v>119</v>
      </c>
      <c r="O24" s="36"/>
      <c r="P24" s="36"/>
      <c r="Q24" s="36"/>
      <c r="R24" s="36"/>
      <c r="S24" s="36"/>
      <c r="T24" s="36"/>
      <c r="U24" s="36"/>
      <c r="V24" s="36"/>
      <c r="W24" s="36"/>
      <c r="X24" s="36"/>
      <c r="Y24" s="36"/>
      <c r="Z24" s="49"/>
      <c r="AA24" s="43"/>
      <c r="AB24" s="49"/>
      <c r="AC24" s="49"/>
      <c r="AD24" s="43"/>
      <c r="AE24" s="49"/>
      <c r="AF24" s="49"/>
      <c r="AG24" s="49"/>
      <c r="AH24" s="49"/>
      <c r="AI24" s="49"/>
      <c r="AJ24" s="49"/>
      <c r="AK24" s="49"/>
      <c r="AL24" s="49"/>
      <c r="AM24" s="49"/>
      <c r="AN24" s="49"/>
      <c r="AO24" s="49"/>
      <c r="AP24" s="49"/>
      <c r="AQ24" s="49"/>
      <c r="AR24" s="49"/>
      <c r="AS24" s="49"/>
      <c r="AT24" s="46"/>
      <c r="AU24" s="46"/>
      <c r="AV24" s="46"/>
      <c r="AW24" s="46"/>
      <c r="AX24" s="39"/>
      <c r="AY24" s="39"/>
      <c r="AZ24" s="39"/>
      <c r="BA24" s="39"/>
      <c r="BB24" s="39"/>
    </row>
    <row r="25" spans="1:54" s="17" customFormat="1" ht="165" x14ac:dyDescent="0.25">
      <c r="A25" s="55"/>
      <c r="B25" s="36" t="s">
        <v>69</v>
      </c>
      <c r="C25" s="36"/>
      <c r="D25" s="36"/>
      <c r="E25" s="36"/>
      <c r="F25" s="36" t="s">
        <v>159</v>
      </c>
      <c r="G25" s="36"/>
      <c r="H25" s="36"/>
      <c r="I25" s="36"/>
      <c r="J25" s="36"/>
      <c r="K25" s="36"/>
      <c r="L25" s="36"/>
      <c r="M25" s="36"/>
      <c r="N25" s="36" t="s">
        <v>120</v>
      </c>
      <c r="O25" s="36"/>
      <c r="P25" s="36"/>
      <c r="Q25" s="36"/>
      <c r="R25" s="36"/>
      <c r="S25" s="36"/>
      <c r="T25" s="36"/>
      <c r="U25" s="36"/>
      <c r="V25" s="36"/>
      <c r="W25" s="36"/>
      <c r="X25" s="36"/>
      <c r="Y25" s="36"/>
      <c r="Z25" s="49"/>
      <c r="AA25" s="43"/>
      <c r="AB25" s="49"/>
      <c r="AC25" s="49"/>
      <c r="AD25" s="43"/>
      <c r="AE25" s="49"/>
      <c r="AF25" s="49"/>
      <c r="AG25" s="49"/>
      <c r="AH25" s="49"/>
      <c r="AI25" s="49"/>
      <c r="AJ25" s="49"/>
      <c r="AK25" s="49"/>
      <c r="AL25" s="49"/>
      <c r="AM25" s="49"/>
      <c r="AN25" s="49"/>
      <c r="AO25" s="49"/>
      <c r="AP25" s="49"/>
      <c r="AQ25" s="49"/>
      <c r="AR25" s="49"/>
      <c r="AS25" s="49"/>
      <c r="AT25" s="46"/>
      <c r="AU25" s="46"/>
      <c r="AV25" s="46"/>
      <c r="AW25" s="46"/>
      <c r="AX25" s="39"/>
      <c r="AY25" s="39"/>
      <c r="AZ25" s="39"/>
      <c r="BA25" s="39"/>
      <c r="BB25" s="39"/>
    </row>
    <row r="26" spans="1:54" s="17" customFormat="1" ht="165" x14ac:dyDescent="0.25">
      <c r="A26" s="55"/>
      <c r="B26" s="36" t="s">
        <v>70</v>
      </c>
      <c r="C26" s="36"/>
      <c r="D26" s="36"/>
      <c r="E26" s="36"/>
      <c r="F26" s="36" t="s">
        <v>160</v>
      </c>
      <c r="G26" s="36"/>
      <c r="H26" s="36"/>
      <c r="I26" s="36"/>
      <c r="J26" s="36"/>
      <c r="K26" s="36"/>
      <c r="L26" s="36"/>
      <c r="M26" s="36"/>
      <c r="N26" s="61" t="s">
        <v>121</v>
      </c>
      <c r="O26" s="36"/>
      <c r="P26" s="36"/>
      <c r="Q26" s="36"/>
      <c r="R26" s="36"/>
      <c r="S26" s="36"/>
      <c r="T26" s="36"/>
      <c r="U26" s="36"/>
      <c r="V26" s="36"/>
      <c r="W26" s="36"/>
      <c r="X26" s="36"/>
      <c r="Y26" s="36"/>
      <c r="Z26" s="49"/>
      <c r="AA26" s="43"/>
      <c r="AB26" s="49"/>
      <c r="AC26" s="49"/>
      <c r="AD26" s="43"/>
      <c r="AE26" s="49"/>
      <c r="AF26" s="49"/>
      <c r="AG26" s="49"/>
      <c r="AH26" s="49"/>
      <c r="AI26" s="49"/>
      <c r="AJ26" s="49"/>
      <c r="AK26" s="49"/>
      <c r="AL26" s="49"/>
      <c r="AM26" s="49"/>
      <c r="AN26" s="49"/>
      <c r="AO26" s="49"/>
      <c r="AP26" s="49"/>
      <c r="AQ26" s="49"/>
      <c r="AR26" s="49"/>
      <c r="AS26" s="49"/>
      <c r="AT26" s="46"/>
      <c r="AU26" s="46"/>
      <c r="AV26" s="46"/>
      <c r="AW26" s="46"/>
      <c r="AX26" s="39"/>
      <c r="AY26" s="39"/>
      <c r="AZ26" s="39"/>
      <c r="BA26" s="39"/>
      <c r="BB26" s="39"/>
    </row>
    <row r="27" spans="1:54" s="17" customFormat="1" ht="30" x14ac:dyDescent="0.25">
      <c r="A27" s="55"/>
      <c r="B27" s="36" t="s">
        <v>71</v>
      </c>
      <c r="C27" s="36"/>
      <c r="D27" s="36"/>
      <c r="E27" s="36"/>
      <c r="F27" s="36"/>
      <c r="G27" s="36"/>
      <c r="H27" s="36"/>
      <c r="I27" s="36"/>
      <c r="J27" s="36"/>
      <c r="K27" s="36"/>
      <c r="L27" s="36"/>
      <c r="M27" s="36"/>
      <c r="N27" s="36" t="s">
        <v>122</v>
      </c>
      <c r="O27" s="36"/>
      <c r="P27" s="36"/>
      <c r="Q27" s="36"/>
      <c r="R27" s="36"/>
      <c r="S27" s="36"/>
      <c r="T27" s="36"/>
      <c r="U27" s="36"/>
      <c r="V27" s="36"/>
      <c r="W27" s="36"/>
      <c r="X27" s="36"/>
      <c r="Y27" s="36"/>
      <c r="Z27" s="49"/>
      <c r="AA27" s="43"/>
      <c r="AB27" s="49"/>
      <c r="AC27" s="49"/>
      <c r="AD27" s="43"/>
      <c r="AE27" s="49"/>
      <c r="AF27" s="49"/>
      <c r="AG27" s="49"/>
      <c r="AH27" s="49"/>
      <c r="AI27" s="49"/>
      <c r="AJ27" s="49"/>
      <c r="AK27" s="49"/>
      <c r="AL27" s="49"/>
      <c r="AM27" s="49"/>
      <c r="AN27" s="49"/>
      <c r="AO27" s="49"/>
      <c r="AP27" s="49"/>
      <c r="AQ27" s="49"/>
      <c r="AR27" s="49"/>
      <c r="AS27" s="49"/>
      <c r="AT27" s="46"/>
      <c r="AU27" s="46"/>
      <c r="AV27" s="46"/>
      <c r="AW27" s="46"/>
      <c r="AX27" s="39"/>
      <c r="AY27" s="39"/>
      <c r="AZ27" s="39"/>
      <c r="BA27" s="39"/>
      <c r="BB27" s="39"/>
    </row>
    <row r="28" spans="1:54" s="17" customFormat="1" x14ac:dyDescent="0.25">
      <c r="A28" s="55"/>
      <c r="B28" s="35"/>
      <c r="C28" s="36"/>
      <c r="D28" s="36"/>
      <c r="E28" s="36"/>
      <c r="F28" s="36"/>
      <c r="G28" s="36"/>
      <c r="H28" s="36"/>
      <c r="I28" s="36"/>
      <c r="J28" s="36"/>
      <c r="K28" s="36"/>
      <c r="L28" s="36"/>
      <c r="M28" s="36"/>
      <c r="N28" s="36"/>
      <c r="O28" s="36"/>
      <c r="P28" s="36"/>
      <c r="Q28" s="36"/>
      <c r="R28" s="36"/>
      <c r="S28" s="36"/>
      <c r="T28" s="36"/>
      <c r="U28" s="36"/>
      <c r="V28" s="36"/>
      <c r="W28" s="36"/>
      <c r="X28" s="36"/>
      <c r="Y28" s="36"/>
      <c r="Z28" s="49"/>
      <c r="AA28" s="43"/>
      <c r="AB28" s="49"/>
      <c r="AC28" s="49"/>
      <c r="AD28" s="43"/>
      <c r="AE28" s="49"/>
      <c r="AF28" s="49"/>
      <c r="AG28" s="49"/>
      <c r="AH28" s="49"/>
      <c r="AI28" s="49"/>
      <c r="AJ28" s="49"/>
      <c r="AK28" s="49"/>
      <c r="AL28" s="49"/>
      <c r="AM28" s="49"/>
      <c r="AN28" s="49"/>
      <c r="AO28" s="49"/>
      <c r="AP28" s="49"/>
      <c r="AQ28" s="49"/>
      <c r="AR28" s="49"/>
      <c r="AS28" s="49"/>
      <c r="AT28" s="46"/>
      <c r="AU28" s="46"/>
      <c r="AV28" s="46"/>
      <c r="AW28" s="46"/>
      <c r="AX28" s="39"/>
      <c r="AY28" s="39"/>
      <c r="AZ28" s="39"/>
      <c r="BA28" s="39"/>
      <c r="BB28" s="39"/>
    </row>
    <row r="29" spans="1:54" s="17" customFormat="1" x14ac:dyDescent="0.25">
      <c r="A29" s="55"/>
      <c r="B29" s="36"/>
      <c r="C29" s="36"/>
      <c r="D29" s="36"/>
      <c r="E29" s="36"/>
      <c r="F29" s="36"/>
      <c r="G29" s="36"/>
      <c r="H29" s="36"/>
      <c r="I29" s="36"/>
      <c r="J29" s="36"/>
      <c r="K29" s="36"/>
      <c r="L29" s="36"/>
      <c r="M29" s="36"/>
      <c r="N29" s="36"/>
      <c r="O29" s="36"/>
      <c r="P29" s="36"/>
      <c r="Q29" s="36"/>
      <c r="R29" s="36"/>
      <c r="S29" s="36"/>
      <c r="T29" s="36"/>
      <c r="U29" s="36"/>
      <c r="V29" s="36"/>
      <c r="W29" s="36"/>
      <c r="X29" s="36"/>
      <c r="Y29" s="36"/>
      <c r="Z29" s="49"/>
      <c r="AA29" s="43"/>
      <c r="AB29" s="49"/>
      <c r="AC29" s="49"/>
      <c r="AD29" s="43"/>
      <c r="AE29" s="49"/>
      <c r="AF29" s="49"/>
      <c r="AG29" s="49"/>
      <c r="AH29" s="49"/>
      <c r="AI29" s="49"/>
      <c r="AJ29" s="49"/>
      <c r="AK29" s="49"/>
      <c r="AL29" s="49"/>
      <c r="AM29" s="49"/>
      <c r="AN29" s="49"/>
      <c r="AO29" s="49"/>
      <c r="AP29" s="49"/>
      <c r="AQ29" s="49"/>
      <c r="AR29" s="49"/>
      <c r="AS29" s="49"/>
      <c r="AT29" s="46"/>
      <c r="AU29" s="46"/>
      <c r="AV29" s="46"/>
      <c r="AW29" s="46"/>
      <c r="AX29" s="39"/>
      <c r="AY29" s="39"/>
      <c r="AZ29" s="39"/>
      <c r="BA29" s="39"/>
      <c r="BB29" s="39"/>
    </row>
    <row r="30" spans="1:54" s="17" customFormat="1" x14ac:dyDescent="0.25">
      <c r="A30" s="55"/>
      <c r="B30" s="36"/>
      <c r="C30" s="36"/>
      <c r="D30" s="36"/>
      <c r="E30" s="36"/>
      <c r="F30" s="36"/>
      <c r="G30" s="36"/>
      <c r="H30" s="36"/>
      <c r="I30" s="36"/>
      <c r="J30" s="36"/>
      <c r="K30" s="36"/>
      <c r="L30" s="36"/>
      <c r="M30" s="36"/>
      <c r="N30" s="36"/>
      <c r="O30" s="36"/>
      <c r="P30" s="36"/>
      <c r="Q30" s="36"/>
      <c r="R30" s="36"/>
      <c r="S30" s="36"/>
      <c r="T30" s="36"/>
      <c r="U30" s="36"/>
      <c r="V30" s="36"/>
      <c r="W30" s="36"/>
      <c r="X30" s="36"/>
      <c r="Y30" s="36"/>
      <c r="Z30" s="49"/>
      <c r="AA30" s="43"/>
      <c r="AB30" s="49"/>
      <c r="AC30" s="49"/>
      <c r="AD30" s="43"/>
      <c r="AE30" s="49"/>
      <c r="AF30" s="49"/>
      <c r="AG30" s="49"/>
      <c r="AH30" s="49"/>
      <c r="AI30" s="49"/>
      <c r="AJ30" s="49"/>
      <c r="AK30" s="49"/>
      <c r="AL30" s="49"/>
      <c r="AM30" s="49"/>
      <c r="AN30" s="49"/>
      <c r="AO30" s="49"/>
      <c r="AP30" s="49"/>
      <c r="AQ30" s="49"/>
      <c r="AR30" s="49"/>
      <c r="AS30" s="49"/>
      <c r="AT30" s="46"/>
      <c r="AU30" s="46"/>
      <c r="AV30" s="46"/>
      <c r="AW30" s="46"/>
      <c r="AX30" s="39"/>
      <c r="AY30" s="39"/>
      <c r="AZ30" s="39"/>
      <c r="BA30" s="39"/>
      <c r="BB30" s="39"/>
    </row>
    <row r="31" spans="1:54" s="17" customFormat="1" x14ac:dyDescent="0.25">
      <c r="A31" s="55"/>
      <c r="B31" s="36"/>
      <c r="C31" s="36"/>
      <c r="D31" s="36"/>
      <c r="E31" s="36"/>
      <c r="F31" s="36"/>
      <c r="G31" s="36"/>
      <c r="H31" s="36"/>
      <c r="I31" s="36"/>
      <c r="J31" s="36"/>
      <c r="K31" s="36"/>
      <c r="L31" s="36"/>
      <c r="M31" s="36"/>
      <c r="N31" s="36"/>
      <c r="O31" s="36"/>
      <c r="P31" s="36"/>
      <c r="Q31" s="36"/>
      <c r="R31" s="36"/>
      <c r="S31" s="36"/>
      <c r="T31" s="36"/>
      <c r="U31" s="36"/>
      <c r="V31" s="36"/>
      <c r="W31" s="36"/>
      <c r="X31" s="36"/>
      <c r="Y31" s="36"/>
      <c r="Z31" s="49"/>
      <c r="AA31" s="43"/>
      <c r="AB31" s="49"/>
      <c r="AC31" s="49"/>
      <c r="AD31" s="43"/>
      <c r="AE31" s="49"/>
      <c r="AF31" s="49"/>
      <c r="AG31" s="49"/>
      <c r="AH31" s="49"/>
      <c r="AI31" s="49"/>
      <c r="AJ31" s="49"/>
      <c r="AK31" s="49"/>
      <c r="AL31" s="49"/>
      <c r="AM31" s="49"/>
      <c r="AN31" s="49"/>
      <c r="AO31" s="49"/>
      <c r="AP31" s="49"/>
      <c r="AQ31" s="49"/>
      <c r="AR31" s="49"/>
      <c r="AS31" s="49"/>
      <c r="AT31" s="46"/>
      <c r="AU31" s="46"/>
      <c r="AV31" s="46"/>
      <c r="AW31" s="46"/>
      <c r="AX31" s="39"/>
      <c r="AY31" s="39"/>
      <c r="AZ31" s="39"/>
      <c r="BA31" s="39"/>
      <c r="BB31" s="39"/>
    </row>
    <row r="32" spans="1:54" s="17" customFormat="1" x14ac:dyDescent="0.25">
      <c r="A32" s="55"/>
      <c r="B32" s="36"/>
      <c r="C32" s="36"/>
      <c r="D32" s="36"/>
      <c r="E32" s="36"/>
      <c r="F32" s="36"/>
      <c r="G32" s="36"/>
      <c r="H32" s="36"/>
      <c r="I32" s="36"/>
      <c r="J32" s="36"/>
      <c r="K32" s="36"/>
      <c r="L32" s="36"/>
      <c r="M32" s="36"/>
      <c r="N32" s="36"/>
      <c r="O32" s="36"/>
      <c r="P32" s="36"/>
      <c r="Q32" s="36"/>
      <c r="R32" s="36"/>
      <c r="S32" s="36"/>
      <c r="T32" s="36"/>
      <c r="U32" s="36"/>
      <c r="V32" s="36"/>
      <c r="W32" s="36"/>
      <c r="X32" s="36"/>
      <c r="Y32" s="36"/>
      <c r="Z32" s="49"/>
      <c r="AA32" s="43"/>
      <c r="AB32" s="49"/>
      <c r="AC32" s="49"/>
      <c r="AD32" s="43"/>
      <c r="AE32" s="49"/>
      <c r="AF32" s="49"/>
      <c r="AG32" s="49"/>
      <c r="AH32" s="49"/>
      <c r="AI32" s="49"/>
      <c r="AJ32" s="49"/>
      <c r="AK32" s="49"/>
      <c r="AL32" s="49"/>
      <c r="AM32" s="49"/>
      <c r="AN32" s="49"/>
      <c r="AO32" s="49"/>
      <c r="AP32" s="49"/>
      <c r="AQ32" s="49"/>
      <c r="AR32" s="49"/>
      <c r="AS32" s="49"/>
      <c r="AT32" s="46"/>
      <c r="AU32" s="46"/>
      <c r="AV32" s="46"/>
      <c r="AW32" s="46"/>
      <c r="AX32" s="39"/>
      <c r="AY32" s="39"/>
      <c r="AZ32" s="39"/>
      <c r="BA32" s="39"/>
      <c r="BB32" s="39"/>
    </row>
    <row r="33" spans="1:54" s="17" customFormat="1" x14ac:dyDescent="0.25">
      <c r="A33" s="55"/>
      <c r="B33" s="36"/>
      <c r="C33" s="36"/>
      <c r="D33" s="36"/>
      <c r="E33" s="36"/>
      <c r="F33" s="36"/>
      <c r="G33" s="36"/>
      <c r="H33" s="36"/>
      <c r="I33" s="36"/>
      <c r="J33" s="36"/>
      <c r="K33" s="36"/>
      <c r="L33" s="36"/>
      <c r="M33" s="36"/>
      <c r="N33" s="36"/>
      <c r="O33" s="36"/>
      <c r="P33" s="36"/>
      <c r="Q33" s="36"/>
      <c r="R33" s="36"/>
      <c r="S33" s="36"/>
      <c r="T33" s="36"/>
      <c r="U33" s="36"/>
      <c r="V33" s="36"/>
      <c r="W33" s="36"/>
      <c r="X33" s="36"/>
      <c r="Y33" s="36"/>
      <c r="Z33" s="49"/>
      <c r="AA33" s="43"/>
      <c r="AB33" s="49"/>
      <c r="AC33" s="49"/>
      <c r="AD33" s="43"/>
      <c r="AE33" s="49"/>
      <c r="AF33" s="49"/>
      <c r="AG33" s="49"/>
      <c r="AH33" s="49"/>
      <c r="AI33" s="49"/>
      <c r="AJ33" s="49"/>
      <c r="AK33" s="49"/>
      <c r="AL33" s="49"/>
      <c r="AM33" s="49"/>
      <c r="AN33" s="49"/>
      <c r="AO33" s="49"/>
      <c r="AP33" s="49"/>
      <c r="AQ33" s="49"/>
      <c r="AR33" s="49"/>
      <c r="AS33" s="49"/>
      <c r="AT33" s="46"/>
      <c r="AU33" s="46"/>
      <c r="AV33" s="46"/>
      <c r="AW33" s="46"/>
      <c r="AX33" s="39"/>
      <c r="AY33" s="39"/>
      <c r="AZ33" s="39"/>
      <c r="BA33" s="39"/>
      <c r="BB33" s="39"/>
    </row>
    <row r="34" spans="1:54" s="17" customFormat="1" x14ac:dyDescent="0.25">
      <c r="A34" s="55"/>
      <c r="B34" s="36"/>
      <c r="C34" s="36"/>
      <c r="D34" s="36"/>
      <c r="E34" s="36"/>
      <c r="F34" s="36"/>
      <c r="G34" s="36"/>
      <c r="H34" s="36"/>
      <c r="I34" s="36"/>
      <c r="J34" s="36"/>
      <c r="K34" s="36"/>
      <c r="L34" s="36"/>
      <c r="M34" s="36"/>
      <c r="N34" s="36"/>
      <c r="O34" s="36"/>
      <c r="P34" s="36"/>
      <c r="Q34" s="36"/>
      <c r="R34" s="36"/>
      <c r="S34" s="36"/>
      <c r="T34" s="36"/>
      <c r="U34" s="36"/>
      <c r="V34" s="36"/>
      <c r="W34" s="36"/>
      <c r="X34" s="36"/>
      <c r="Y34" s="36"/>
      <c r="Z34" s="49"/>
      <c r="AA34" s="43"/>
      <c r="AB34" s="49"/>
      <c r="AC34" s="49"/>
      <c r="AD34" s="43"/>
      <c r="AE34" s="49"/>
      <c r="AF34" s="49"/>
      <c r="AG34" s="49"/>
      <c r="AH34" s="49"/>
      <c r="AI34" s="49"/>
      <c r="AJ34" s="49"/>
      <c r="AK34" s="49"/>
      <c r="AL34" s="49"/>
      <c r="AM34" s="49"/>
      <c r="AN34" s="49"/>
      <c r="AO34" s="49"/>
      <c r="AP34" s="49"/>
      <c r="AQ34" s="49"/>
      <c r="AR34" s="49"/>
      <c r="AS34" s="49"/>
      <c r="AT34" s="46"/>
      <c r="AU34" s="46"/>
      <c r="AV34" s="46"/>
      <c r="AW34" s="46"/>
      <c r="AX34" s="39"/>
      <c r="AY34" s="39"/>
      <c r="AZ34" s="39"/>
      <c r="BA34" s="39"/>
      <c r="BB34" s="39"/>
    </row>
    <row r="35" spans="1:54" s="17" customFormat="1" x14ac:dyDescent="0.25">
      <c r="A35" s="56"/>
      <c r="B35" s="36"/>
      <c r="C35" s="36"/>
      <c r="D35" s="36"/>
      <c r="E35" s="36"/>
      <c r="F35" s="36"/>
      <c r="G35" s="36"/>
      <c r="H35" s="36"/>
      <c r="I35" s="36"/>
      <c r="J35" s="36"/>
      <c r="K35" s="36"/>
      <c r="L35" s="36"/>
      <c r="M35" s="36"/>
      <c r="N35" s="36"/>
      <c r="O35" s="36"/>
      <c r="P35" s="36"/>
      <c r="Q35" s="36"/>
      <c r="R35" s="36"/>
      <c r="S35" s="36"/>
      <c r="T35" s="36"/>
      <c r="U35" s="36"/>
      <c r="V35" s="36"/>
      <c r="W35" s="36"/>
      <c r="X35" s="36"/>
      <c r="Y35" s="36"/>
      <c r="Z35" s="50"/>
      <c r="AA35" s="44"/>
      <c r="AB35" s="50"/>
      <c r="AC35" s="50"/>
      <c r="AD35" s="44"/>
      <c r="AE35" s="50"/>
      <c r="AF35" s="50"/>
      <c r="AG35" s="50"/>
      <c r="AH35" s="50"/>
      <c r="AI35" s="50"/>
      <c r="AJ35" s="50"/>
      <c r="AK35" s="50"/>
      <c r="AL35" s="50"/>
      <c r="AM35" s="50"/>
      <c r="AN35" s="50"/>
      <c r="AO35" s="50"/>
      <c r="AP35" s="50"/>
      <c r="AQ35" s="50"/>
      <c r="AR35" s="50"/>
      <c r="AS35" s="50"/>
      <c r="AT35" s="47"/>
      <c r="AU35" s="47"/>
      <c r="AV35" s="47"/>
      <c r="AW35" s="47"/>
      <c r="AX35" s="40"/>
      <c r="AY35" s="40"/>
      <c r="AZ35" s="40"/>
      <c r="BA35" s="40"/>
      <c r="BB35" s="40"/>
    </row>
    <row r="36" spans="1:54" s="17" customFormat="1" x14ac:dyDescent="0.25">
      <c r="A36" s="29"/>
      <c r="B36" s="37"/>
      <c r="C36" s="37"/>
      <c r="D36" s="37"/>
      <c r="E36" s="37"/>
      <c r="F36" s="37"/>
      <c r="G36" s="37"/>
      <c r="H36" s="37"/>
      <c r="I36" s="37"/>
      <c r="J36" s="37"/>
      <c r="K36" s="37"/>
      <c r="L36" s="37"/>
      <c r="M36" s="37"/>
      <c r="N36" s="37"/>
      <c r="O36" s="37"/>
      <c r="P36" s="37"/>
      <c r="Q36" s="37"/>
      <c r="R36" s="37"/>
      <c r="S36" s="37"/>
      <c r="T36" s="37"/>
      <c r="U36" s="37"/>
      <c r="V36" s="37"/>
      <c r="W36" s="37"/>
      <c r="X36" s="37"/>
      <c r="Y36" s="37"/>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row>
    <row r="37" spans="1:54" s="17" customFormat="1" x14ac:dyDescent="0.25">
      <c r="A37" s="28" t="s">
        <v>72</v>
      </c>
      <c r="B37" s="41"/>
      <c r="C37" s="41"/>
      <c r="D37" s="41"/>
      <c r="E37" s="41"/>
      <c r="F37" s="41"/>
      <c r="G37" s="41"/>
      <c r="H37" s="41"/>
      <c r="I37" s="41"/>
      <c r="J37" s="41"/>
      <c r="K37" s="41"/>
      <c r="L37" s="41"/>
      <c r="M37" s="41"/>
      <c r="N37" s="41"/>
      <c r="O37" s="41"/>
      <c r="P37" s="41"/>
      <c r="Q37" s="41"/>
      <c r="R37" s="41"/>
      <c r="S37" s="41"/>
      <c r="T37" s="41"/>
      <c r="U37" s="41"/>
      <c r="V37" s="41"/>
      <c r="W37" s="41"/>
      <c r="X37" s="41"/>
      <c r="Y37" s="41"/>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row>
    <row r="38" spans="1:54" s="17" customFormat="1" x14ac:dyDescent="0.25">
      <c r="A38" s="29"/>
      <c r="B38" s="37"/>
      <c r="C38" s="37"/>
      <c r="D38" s="37"/>
      <c r="E38" s="37"/>
      <c r="F38" s="37"/>
      <c r="G38" s="37"/>
      <c r="H38" s="37"/>
      <c r="I38" s="37"/>
      <c r="J38" s="37"/>
      <c r="K38" s="37"/>
      <c r="L38" s="37"/>
      <c r="M38" s="37"/>
      <c r="N38" s="37"/>
      <c r="O38" s="37"/>
      <c r="P38" s="37"/>
      <c r="Q38" s="37"/>
      <c r="R38" s="37"/>
      <c r="S38" s="37"/>
      <c r="T38" s="37"/>
      <c r="U38" s="37"/>
      <c r="V38" s="37"/>
      <c r="W38" s="37"/>
      <c r="X38" s="37"/>
      <c r="Y38" s="37"/>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row>
    <row r="39" spans="1:54" s="17" customFormat="1" x14ac:dyDescent="0.25">
      <c r="A39" s="53" t="s">
        <v>73</v>
      </c>
      <c r="B39" s="41"/>
      <c r="C39" s="41"/>
      <c r="D39" s="41"/>
      <c r="E39" s="41"/>
      <c r="F39" s="41"/>
      <c r="G39" s="41"/>
      <c r="H39" s="41"/>
      <c r="I39" s="41"/>
      <c r="J39" s="41"/>
      <c r="K39" s="41"/>
      <c r="L39" s="41"/>
      <c r="M39" s="41"/>
      <c r="N39" s="41"/>
      <c r="O39" s="41"/>
      <c r="P39" s="41"/>
      <c r="Q39" s="41"/>
      <c r="R39" s="41"/>
      <c r="S39" s="41"/>
      <c r="T39" s="41"/>
      <c r="U39" s="41"/>
      <c r="V39" s="41"/>
      <c r="W39" s="41"/>
      <c r="X39" s="41"/>
      <c r="Y39" s="41"/>
      <c r="Z39" s="48"/>
      <c r="AA39" s="42"/>
      <c r="AB39" s="48"/>
      <c r="AC39" s="48"/>
      <c r="AD39" s="42"/>
      <c r="AE39" s="48"/>
      <c r="AF39" s="48"/>
      <c r="AG39" s="48"/>
      <c r="AH39" s="48"/>
      <c r="AI39" s="48"/>
      <c r="AJ39" s="48"/>
      <c r="AK39" s="48"/>
      <c r="AL39" s="48"/>
      <c r="AM39" s="48"/>
      <c r="AN39" s="48"/>
      <c r="AO39" s="48"/>
      <c r="AP39" s="48"/>
      <c r="AQ39" s="48"/>
      <c r="AR39" s="48"/>
      <c r="AS39" s="48"/>
      <c r="AT39" s="48"/>
      <c r="AU39" s="48"/>
      <c r="AV39" s="48"/>
      <c r="AW39" s="48"/>
      <c r="AX39" s="42"/>
      <c r="AY39" s="42"/>
      <c r="AZ39" s="42"/>
      <c r="BA39" s="42"/>
      <c r="BB39" s="42"/>
    </row>
    <row r="40" spans="1:54" s="17" customFormat="1" x14ac:dyDescent="0.25">
      <c r="A40" s="53"/>
      <c r="B40" s="41"/>
      <c r="C40" s="41"/>
      <c r="D40" s="41"/>
      <c r="E40" s="41"/>
      <c r="F40" s="41"/>
      <c r="G40" s="41"/>
      <c r="H40" s="41"/>
      <c r="I40" s="41"/>
      <c r="J40" s="41"/>
      <c r="K40" s="41"/>
      <c r="L40" s="41"/>
      <c r="M40" s="41"/>
      <c r="N40" s="41"/>
      <c r="O40" s="41"/>
      <c r="P40" s="41"/>
      <c r="Q40" s="41"/>
      <c r="R40" s="41"/>
      <c r="S40" s="41"/>
      <c r="T40" s="41"/>
      <c r="U40" s="41"/>
      <c r="V40" s="41"/>
      <c r="W40" s="41"/>
      <c r="X40" s="41"/>
      <c r="Y40" s="41"/>
      <c r="Z40" s="49"/>
      <c r="AA40" s="43"/>
      <c r="AB40" s="49"/>
      <c r="AC40" s="49"/>
      <c r="AD40" s="43"/>
      <c r="AE40" s="49"/>
      <c r="AF40" s="49"/>
      <c r="AG40" s="49"/>
      <c r="AH40" s="49"/>
      <c r="AI40" s="49"/>
      <c r="AJ40" s="49"/>
      <c r="AK40" s="49"/>
      <c r="AL40" s="49"/>
      <c r="AM40" s="49"/>
      <c r="AN40" s="49"/>
      <c r="AO40" s="49"/>
      <c r="AP40" s="49"/>
      <c r="AQ40" s="49"/>
      <c r="AR40" s="49"/>
      <c r="AS40" s="49"/>
      <c r="AT40" s="49"/>
      <c r="AU40" s="49"/>
      <c r="AV40" s="49"/>
      <c r="AW40" s="49"/>
      <c r="AX40" s="43"/>
      <c r="AY40" s="43"/>
      <c r="AZ40" s="43"/>
      <c r="BA40" s="43"/>
      <c r="BB40" s="43"/>
    </row>
    <row r="41" spans="1:54" s="17" customFormat="1" x14ac:dyDescent="0.25">
      <c r="A41" s="53"/>
      <c r="B41" s="41"/>
      <c r="C41" s="41"/>
      <c r="D41" s="41"/>
      <c r="E41" s="41"/>
      <c r="F41" s="41"/>
      <c r="G41" s="41"/>
      <c r="H41" s="41"/>
      <c r="I41" s="41"/>
      <c r="J41" s="41"/>
      <c r="K41" s="41"/>
      <c r="L41" s="41"/>
      <c r="M41" s="41"/>
      <c r="N41" s="41"/>
      <c r="O41" s="41"/>
      <c r="P41" s="41"/>
      <c r="Q41" s="41"/>
      <c r="R41" s="41"/>
      <c r="S41" s="41"/>
      <c r="T41" s="41"/>
      <c r="U41" s="41"/>
      <c r="V41" s="41"/>
      <c r="W41" s="41"/>
      <c r="X41" s="41"/>
      <c r="Y41" s="41"/>
      <c r="Z41" s="49"/>
      <c r="AA41" s="43"/>
      <c r="AB41" s="49"/>
      <c r="AC41" s="49"/>
      <c r="AD41" s="43"/>
      <c r="AE41" s="49"/>
      <c r="AF41" s="49"/>
      <c r="AG41" s="49"/>
      <c r="AH41" s="49"/>
      <c r="AI41" s="49"/>
      <c r="AJ41" s="49"/>
      <c r="AK41" s="49"/>
      <c r="AL41" s="49"/>
      <c r="AM41" s="49"/>
      <c r="AN41" s="49"/>
      <c r="AO41" s="49"/>
      <c r="AP41" s="49"/>
      <c r="AQ41" s="49"/>
      <c r="AR41" s="49"/>
      <c r="AS41" s="49"/>
      <c r="AT41" s="49"/>
      <c r="AU41" s="49"/>
      <c r="AV41" s="49"/>
      <c r="AW41" s="49"/>
      <c r="AX41" s="43"/>
      <c r="AY41" s="43"/>
      <c r="AZ41" s="43"/>
      <c r="BA41" s="43"/>
      <c r="BB41" s="43"/>
    </row>
    <row r="42" spans="1:54" s="17" customFormat="1" x14ac:dyDescent="0.25">
      <c r="A42" s="53"/>
      <c r="B42" s="41"/>
      <c r="C42" s="41"/>
      <c r="D42" s="41"/>
      <c r="E42" s="41"/>
      <c r="F42" s="41"/>
      <c r="G42" s="41"/>
      <c r="H42" s="41"/>
      <c r="I42" s="41"/>
      <c r="J42" s="41"/>
      <c r="K42" s="41"/>
      <c r="L42" s="41"/>
      <c r="M42" s="41"/>
      <c r="N42" s="41"/>
      <c r="O42" s="41"/>
      <c r="P42" s="41"/>
      <c r="Q42" s="41"/>
      <c r="R42" s="41"/>
      <c r="S42" s="41"/>
      <c r="T42" s="41"/>
      <c r="U42" s="41"/>
      <c r="V42" s="41"/>
      <c r="W42" s="41"/>
      <c r="X42" s="41"/>
      <c r="Y42" s="41"/>
      <c r="Z42" s="49"/>
      <c r="AA42" s="43"/>
      <c r="AB42" s="49"/>
      <c r="AC42" s="49"/>
      <c r="AD42" s="43"/>
      <c r="AE42" s="49"/>
      <c r="AF42" s="49"/>
      <c r="AG42" s="49"/>
      <c r="AH42" s="49"/>
      <c r="AI42" s="49"/>
      <c r="AJ42" s="49"/>
      <c r="AK42" s="49"/>
      <c r="AL42" s="49"/>
      <c r="AM42" s="49"/>
      <c r="AN42" s="49"/>
      <c r="AO42" s="49"/>
      <c r="AP42" s="49"/>
      <c r="AQ42" s="49"/>
      <c r="AR42" s="49"/>
      <c r="AS42" s="49"/>
      <c r="AT42" s="49"/>
      <c r="AU42" s="49"/>
      <c r="AV42" s="49"/>
      <c r="AW42" s="49"/>
      <c r="AX42" s="43"/>
      <c r="AY42" s="43"/>
      <c r="AZ42" s="43"/>
      <c r="BA42" s="43"/>
      <c r="BB42" s="43"/>
    </row>
    <row r="43" spans="1:54" s="17" customFormat="1" x14ac:dyDescent="0.25">
      <c r="A43" s="53"/>
      <c r="B43" s="41"/>
      <c r="C43" s="41"/>
      <c r="D43" s="41"/>
      <c r="E43" s="41"/>
      <c r="F43" s="41"/>
      <c r="G43" s="41"/>
      <c r="H43" s="41"/>
      <c r="I43" s="41"/>
      <c r="J43" s="41"/>
      <c r="K43" s="41"/>
      <c r="L43" s="41"/>
      <c r="M43" s="41"/>
      <c r="N43" s="41"/>
      <c r="O43" s="41"/>
      <c r="P43" s="41"/>
      <c r="Q43" s="41"/>
      <c r="R43" s="41"/>
      <c r="S43" s="41"/>
      <c r="T43" s="41"/>
      <c r="U43" s="41"/>
      <c r="V43" s="41"/>
      <c r="W43" s="41"/>
      <c r="X43" s="41"/>
      <c r="Y43" s="41"/>
      <c r="Z43" s="50"/>
      <c r="AA43" s="44"/>
      <c r="AB43" s="50"/>
      <c r="AC43" s="50"/>
      <c r="AD43" s="44"/>
      <c r="AE43" s="50"/>
      <c r="AF43" s="50"/>
      <c r="AG43" s="50"/>
      <c r="AH43" s="50"/>
      <c r="AI43" s="50"/>
      <c r="AJ43" s="50"/>
      <c r="AK43" s="50"/>
      <c r="AL43" s="50"/>
      <c r="AM43" s="50"/>
      <c r="AN43" s="50"/>
      <c r="AO43" s="50"/>
      <c r="AP43" s="50"/>
      <c r="AQ43" s="50"/>
      <c r="AR43" s="50"/>
      <c r="AS43" s="50"/>
      <c r="AT43" s="50"/>
      <c r="AU43" s="50"/>
      <c r="AV43" s="50"/>
      <c r="AW43" s="50"/>
      <c r="AX43" s="44"/>
      <c r="AY43" s="44"/>
      <c r="AZ43" s="44"/>
      <c r="BA43" s="44"/>
      <c r="BB43" s="44"/>
    </row>
    <row r="44" spans="1:54" s="17" customFormat="1" x14ac:dyDescent="0.25">
      <c r="A44" s="29"/>
      <c r="B44" s="37"/>
      <c r="C44" s="37"/>
      <c r="D44" s="37"/>
      <c r="E44" s="37"/>
      <c r="F44" s="37"/>
      <c r="G44" s="37"/>
      <c r="H44" s="37"/>
      <c r="I44" s="37"/>
      <c r="J44" s="37"/>
      <c r="K44" s="37"/>
      <c r="L44" s="37"/>
      <c r="M44" s="37"/>
      <c r="N44" s="37"/>
      <c r="O44" s="37"/>
      <c r="P44" s="37"/>
      <c r="Q44" s="37"/>
      <c r="R44" s="37"/>
      <c r="S44" s="37"/>
      <c r="T44" s="37"/>
      <c r="U44" s="37"/>
      <c r="V44" s="37"/>
      <c r="W44" s="37"/>
      <c r="X44" s="37"/>
      <c r="Y44" s="37"/>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row>
    <row r="45" spans="1:54" s="17" customFormat="1" ht="15" customHeight="1" x14ac:dyDescent="0.25">
      <c r="A45" s="28" t="s">
        <v>74</v>
      </c>
      <c r="B45" s="62">
        <v>22193</v>
      </c>
      <c r="C45" s="62">
        <v>1340</v>
      </c>
      <c r="D45" s="62">
        <v>1522</v>
      </c>
      <c r="E45" s="62">
        <v>1864</v>
      </c>
      <c r="F45" s="62">
        <v>108</v>
      </c>
      <c r="G45" s="62">
        <v>590</v>
      </c>
      <c r="H45" s="62">
        <v>369</v>
      </c>
      <c r="I45" s="62">
        <v>2743</v>
      </c>
      <c r="J45" s="62">
        <v>3386</v>
      </c>
      <c r="K45" s="62">
        <v>3386</v>
      </c>
      <c r="L45" s="62">
        <v>171</v>
      </c>
      <c r="M45" s="62">
        <v>4803</v>
      </c>
      <c r="N45" s="62">
        <v>405</v>
      </c>
      <c r="O45" s="62">
        <v>4659</v>
      </c>
      <c r="P45" s="62">
        <v>10</v>
      </c>
      <c r="Q45" s="62">
        <v>51</v>
      </c>
      <c r="R45" s="62">
        <v>840</v>
      </c>
      <c r="S45" s="62">
        <v>3536</v>
      </c>
      <c r="T45" s="62">
        <v>528</v>
      </c>
      <c r="U45" s="63">
        <v>1853</v>
      </c>
      <c r="V45" s="63">
        <v>3285</v>
      </c>
      <c r="W45" s="63">
        <v>1682</v>
      </c>
      <c r="X45" s="63"/>
      <c r="Y45" s="63"/>
      <c r="Z45" s="45"/>
      <c r="AA45" s="38"/>
      <c r="AB45" s="45">
        <v>75</v>
      </c>
      <c r="AC45" s="45"/>
      <c r="AD45" s="38"/>
      <c r="AE45" s="45"/>
      <c r="AF45" s="45"/>
      <c r="AG45" s="45"/>
      <c r="AH45" s="45"/>
      <c r="AI45" s="45"/>
      <c r="AJ45" s="45"/>
      <c r="AK45" s="45"/>
      <c r="AL45" s="45"/>
      <c r="AM45" s="45"/>
      <c r="AN45" s="45"/>
      <c r="AO45" s="45" t="s">
        <v>95</v>
      </c>
      <c r="AP45" s="45" t="s">
        <v>95</v>
      </c>
      <c r="AQ45" s="64" t="s">
        <v>96</v>
      </c>
      <c r="AR45" s="65"/>
      <c r="AS45" s="45" t="s">
        <v>103</v>
      </c>
      <c r="AT45" s="16"/>
      <c r="AU45" s="16"/>
      <c r="AV45" s="16"/>
      <c r="AW45" s="16"/>
      <c r="AX45" s="16"/>
      <c r="AY45" s="16"/>
      <c r="AZ45" s="16"/>
      <c r="BA45" s="16"/>
      <c r="BB45" s="16"/>
    </row>
    <row r="46" spans="1:54" s="17" customFormat="1" x14ac:dyDescent="0.25">
      <c r="A46" s="28" t="s">
        <v>75</v>
      </c>
      <c r="B46" s="62">
        <v>22193</v>
      </c>
      <c r="C46" s="62">
        <v>1340</v>
      </c>
      <c r="D46" s="62">
        <v>1522</v>
      </c>
      <c r="E46" s="62">
        <v>1864</v>
      </c>
      <c r="F46" s="62">
        <v>108</v>
      </c>
      <c r="G46" s="62">
        <v>590</v>
      </c>
      <c r="H46" s="62">
        <v>369</v>
      </c>
      <c r="I46" s="62">
        <v>2743</v>
      </c>
      <c r="J46" s="62">
        <v>3386</v>
      </c>
      <c r="K46" s="62">
        <v>3386</v>
      </c>
      <c r="L46" s="62">
        <v>171</v>
      </c>
      <c r="M46" s="62">
        <v>4803</v>
      </c>
      <c r="N46" s="62">
        <v>405</v>
      </c>
      <c r="O46" s="62">
        <v>4659</v>
      </c>
      <c r="P46" s="62">
        <v>10</v>
      </c>
      <c r="Q46" s="62">
        <v>51</v>
      </c>
      <c r="R46" s="62">
        <v>840</v>
      </c>
      <c r="S46" s="62">
        <v>3536</v>
      </c>
      <c r="T46" s="62">
        <v>528</v>
      </c>
      <c r="U46" s="63">
        <v>1853</v>
      </c>
      <c r="V46" s="63">
        <v>3285</v>
      </c>
      <c r="W46" s="63">
        <v>1682</v>
      </c>
      <c r="X46" s="63"/>
      <c r="Y46" s="63"/>
      <c r="Z46" s="46"/>
      <c r="AA46" s="39"/>
      <c r="AB46" s="46"/>
      <c r="AC46" s="46"/>
      <c r="AD46" s="39"/>
      <c r="AE46" s="46"/>
      <c r="AF46" s="46"/>
      <c r="AG46" s="46"/>
      <c r="AH46" s="46"/>
      <c r="AI46" s="46"/>
      <c r="AJ46" s="46"/>
      <c r="AK46" s="46"/>
      <c r="AL46" s="46"/>
      <c r="AM46" s="46"/>
      <c r="AN46" s="46"/>
      <c r="AO46" s="46"/>
      <c r="AP46" s="46"/>
      <c r="AQ46" s="66"/>
      <c r="AR46" s="67"/>
      <c r="AS46" s="46"/>
      <c r="AT46" s="16"/>
      <c r="AU46" s="16"/>
      <c r="AV46" s="16"/>
      <c r="AW46" s="16"/>
      <c r="AX46" s="16"/>
      <c r="AY46" s="16"/>
      <c r="AZ46" s="16"/>
      <c r="BA46" s="16"/>
      <c r="BB46" s="16"/>
    </row>
    <row r="47" spans="1:54" s="17" customFormat="1" x14ac:dyDescent="0.25">
      <c r="A47" s="28" t="s">
        <v>76</v>
      </c>
      <c r="B47" s="62">
        <v>0</v>
      </c>
      <c r="C47" s="62">
        <v>0</v>
      </c>
      <c r="D47" s="62">
        <v>0</v>
      </c>
      <c r="E47" s="62">
        <v>0</v>
      </c>
      <c r="F47" s="62">
        <v>0</v>
      </c>
      <c r="G47" s="62">
        <v>0</v>
      </c>
      <c r="H47" s="62">
        <v>0</v>
      </c>
      <c r="I47" s="62">
        <v>0</v>
      </c>
      <c r="J47" s="62">
        <v>0</v>
      </c>
      <c r="K47" s="62">
        <v>0</v>
      </c>
      <c r="L47" s="62">
        <v>0</v>
      </c>
      <c r="M47" s="62">
        <v>0</v>
      </c>
      <c r="N47" s="62">
        <v>39</v>
      </c>
      <c r="O47" s="62">
        <v>0</v>
      </c>
      <c r="P47" s="62">
        <v>0</v>
      </c>
      <c r="Q47" s="62">
        <v>0</v>
      </c>
      <c r="R47" s="62">
        <v>0</v>
      </c>
      <c r="S47" s="62">
        <v>0</v>
      </c>
      <c r="T47" s="62">
        <v>0</v>
      </c>
      <c r="U47" s="63">
        <v>0</v>
      </c>
      <c r="V47" s="63">
        <v>0</v>
      </c>
      <c r="W47" s="63">
        <v>0</v>
      </c>
      <c r="X47" s="63"/>
      <c r="Y47" s="63"/>
      <c r="Z47" s="47"/>
      <c r="AA47" s="40"/>
      <c r="AB47" s="47"/>
      <c r="AC47" s="47"/>
      <c r="AD47" s="40"/>
      <c r="AE47" s="47"/>
      <c r="AF47" s="47"/>
      <c r="AG47" s="47"/>
      <c r="AH47" s="47"/>
      <c r="AI47" s="47"/>
      <c r="AJ47" s="47"/>
      <c r="AK47" s="47"/>
      <c r="AL47" s="47"/>
      <c r="AM47" s="47"/>
      <c r="AN47" s="47"/>
      <c r="AO47" s="47"/>
      <c r="AP47" s="47"/>
      <c r="AQ47" s="68"/>
      <c r="AR47" s="69"/>
      <c r="AS47" s="47"/>
      <c r="AT47" s="16"/>
      <c r="AU47" s="16"/>
      <c r="AV47" s="16"/>
      <c r="AW47" s="16"/>
      <c r="AX47" s="16"/>
      <c r="AY47" s="16"/>
      <c r="AZ47" s="16"/>
      <c r="BA47" s="16"/>
      <c r="BB47" s="16"/>
    </row>
    <row r="48" spans="1:54" s="17" customFormat="1" x14ac:dyDescent="0.25">
      <c r="A48" s="29"/>
      <c r="B48" s="37"/>
      <c r="C48" s="37"/>
      <c r="D48" s="37"/>
      <c r="E48" s="37"/>
      <c r="F48" s="37"/>
      <c r="G48" s="37"/>
      <c r="H48" s="37"/>
      <c r="I48" s="37"/>
      <c r="J48" s="37"/>
      <c r="K48" s="37"/>
      <c r="L48" s="37"/>
      <c r="M48" s="37"/>
      <c r="N48" s="37"/>
      <c r="O48" s="37"/>
      <c r="P48" s="37"/>
      <c r="Q48" s="37"/>
      <c r="R48" s="37"/>
      <c r="S48" s="37"/>
      <c r="T48" s="37"/>
      <c r="U48" s="37"/>
      <c r="V48" s="37"/>
      <c r="W48" s="37"/>
      <c r="X48" s="37"/>
      <c r="Y48" s="37"/>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row>
    <row r="49" spans="1:54" s="17" customFormat="1" ht="45" x14ac:dyDescent="0.25">
      <c r="A49" s="30" t="s">
        <v>77</v>
      </c>
      <c r="B49" s="36" t="s">
        <v>78</v>
      </c>
      <c r="C49" s="36" t="s">
        <v>78</v>
      </c>
      <c r="D49" s="36" t="s">
        <v>78</v>
      </c>
      <c r="E49" s="36" t="s">
        <v>78</v>
      </c>
      <c r="F49" s="36" t="s">
        <v>78</v>
      </c>
      <c r="G49" s="36" t="s">
        <v>78</v>
      </c>
      <c r="H49" s="36" t="s">
        <v>78</v>
      </c>
      <c r="I49" s="36" t="s">
        <v>78</v>
      </c>
      <c r="J49" s="36" t="s">
        <v>78</v>
      </c>
      <c r="K49" s="36" t="s">
        <v>78</v>
      </c>
      <c r="L49" s="36" t="s">
        <v>78</v>
      </c>
      <c r="M49" s="36" t="s">
        <v>78</v>
      </c>
      <c r="N49" s="36" t="s">
        <v>78</v>
      </c>
      <c r="O49" s="36" t="s">
        <v>78</v>
      </c>
      <c r="P49" s="36" t="s">
        <v>78</v>
      </c>
      <c r="Q49" s="36" t="s">
        <v>78</v>
      </c>
      <c r="R49" s="36" t="s">
        <v>78</v>
      </c>
      <c r="S49" s="36" t="s">
        <v>78</v>
      </c>
      <c r="T49" s="36" t="s">
        <v>78</v>
      </c>
      <c r="U49" s="36" t="s">
        <v>78</v>
      </c>
      <c r="V49" s="36" t="s">
        <v>78</v>
      </c>
      <c r="W49" s="36" t="s">
        <v>78</v>
      </c>
      <c r="X49" s="36"/>
      <c r="Y49" s="36"/>
      <c r="Z49" s="36"/>
      <c r="AA49" s="36"/>
      <c r="AB49" s="36"/>
      <c r="AC49" s="36">
        <v>20</v>
      </c>
      <c r="AD49" s="36"/>
      <c r="AE49" s="36"/>
      <c r="AF49" s="36"/>
      <c r="AG49" s="36"/>
      <c r="AH49" s="36"/>
      <c r="AI49" s="36">
        <v>20</v>
      </c>
      <c r="AJ49" s="36"/>
      <c r="AK49" s="36"/>
      <c r="AL49" s="36"/>
      <c r="AM49" s="36"/>
      <c r="AN49" s="36"/>
      <c r="AO49" s="36"/>
      <c r="AP49" s="36"/>
      <c r="AQ49" s="36"/>
      <c r="AR49" s="36"/>
      <c r="AS49" s="36"/>
      <c r="AT49" s="16"/>
      <c r="AU49" s="16"/>
      <c r="AV49" s="16"/>
      <c r="AW49" s="16"/>
      <c r="AX49" s="16"/>
      <c r="AY49" s="16"/>
      <c r="AZ49" s="16"/>
      <c r="BA49" s="16"/>
      <c r="BB49" s="16"/>
    </row>
    <row r="50" spans="1:54" s="17" customFormat="1" x14ac:dyDescent="0.25">
      <c r="A50" s="20"/>
      <c r="B50" s="6"/>
      <c r="C50" s="6"/>
      <c r="D50" s="6"/>
      <c r="E50" s="6"/>
      <c r="F50" s="6"/>
      <c r="G50" s="6"/>
      <c r="H50" s="6"/>
      <c r="I50" s="6"/>
      <c r="J50" s="6"/>
      <c r="K50" s="6"/>
      <c r="L50" s="6"/>
      <c r="M50" s="6"/>
      <c r="N50" s="6"/>
      <c r="O50" s="6"/>
      <c r="P50" s="6"/>
      <c r="Q50" s="6"/>
      <c r="R50" s="6"/>
      <c r="S50" s="6"/>
      <c r="T50" s="6"/>
      <c r="U50" s="6"/>
      <c r="V50" s="6"/>
      <c r="W50" s="6"/>
      <c r="X50" s="6"/>
      <c r="Y50" s="6"/>
    </row>
    <row r="51" spans="1:54" s="17" customFormat="1" x14ac:dyDescent="0.25">
      <c r="A51" s="20"/>
      <c r="B51" s="6"/>
      <c r="C51" s="6"/>
      <c r="D51" s="6"/>
      <c r="E51" s="6"/>
      <c r="F51" s="6"/>
      <c r="G51" s="6"/>
      <c r="H51" s="6"/>
      <c r="I51" s="6"/>
      <c r="J51" s="6"/>
      <c r="K51" s="6"/>
      <c r="L51" s="6"/>
      <c r="M51" s="6"/>
      <c r="N51" s="6"/>
      <c r="O51" s="6"/>
      <c r="P51" s="6"/>
      <c r="Q51" s="6"/>
      <c r="R51" s="6"/>
      <c r="S51" s="6"/>
      <c r="T51" s="6"/>
      <c r="U51" s="6"/>
      <c r="V51" s="6"/>
      <c r="W51" s="6"/>
      <c r="X51" s="6"/>
      <c r="Y51" s="6"/>
    </row>
    <row r="52" spans="1:54" s="17" customFormat="1" x14ac:dyDescent="0.25">
      <c r="A52" s="20"/>
      <c r="B52" s="6"/>
      <c r="C52" s="6"/>
      <c r="D52" s="6"/>
      <c r="E52" s="6"/>
      <c r="F52" s="6"/>
      <c r="G52" s="6"/>
      <c r="H52" s="6"/>
      <c r="I52" s="6"/>
      <c r="J52" s="6"/>
      <c r="K52" s="6"/>
      <c r="L52" s="6"/>
      <c r="M52" s="6"/>
      <c r="N52" s="6"/>
      <c r="O52" s="6"/>
      <c r="P52" s="6"/>
      <c r="Q52" s="6"/>
      <c r="R52" s="6"/>
      <c r="S52" s="6"/>
      <c r="T52" s="6"/>
      <c r="U52" s="6"/>
      <c r="V52" s="6"/>
      <c r="W52" s="6"/>
      <c r="X52" s="6"/>
      <c r="Y52" s="6"/>
    </row>
    <row r="53" spans="1:54" s="17" customFormat="1" x14ac:dyDescent="0.25">
      <c r="A53" s="20"/>
      <c r="B53" s="6"/>
      <c r="C53" s="6"/>
      <c r="D53" s="6"/>
      <c r="E53" s="6"/>
      <c r="F53" s="6"/>
      <c r="G53" s="6"/>
      <c r="H53" s="6"/>
      <c r="I53" s="6"/>
      <c r="J53" s="6"/>
      <c r="K53" s="6"/>
      <c r="L53" s="6"/>
      <c r="M53" s="6"/>
      <c r="N53" s="6"/>
      <c r="O53" s="6"/>
      <c r="P53" s="6"/>
      <c r="Q53" s="6"/>
      <c r="R53" s="6"/>
      <c r="S53" s="6"/>
      <c r="T53" s="6"/>
      <c r="U53" s="6"/>
      <c r="V53" s="6"/>
      <c r="W53" s="6"/>
      <c r="X53" s="6"/>
      <c r="Y53" s="6"/>
    </row>
    <row r="54" spans="1:54" s="17" customFormat="1" x14ac:dyDescent="0.25">
      <c r="A54" s="20"/>
      <c r="B54" s="6"/>
      <c r="C54" s="6"/>
      <c r="D54" s="6"/>
      <c r="E54" s="6"/>
      <c r="F54" s="6"/>
      <c r="G54" s="6"/>
      <c r="H54" s="6"/>
      <c r="I54" s="6"/>
      <c r="J54" s="6"/>
      <c r="K54" s="6"/>
      <c r="L54" s="6"/>
      <c r="M54" s="6"/>
      <c r="N54" s="6"/>
      <c r="O54" s="6"/>
      <c r="P54" s="6"/>
      <c r="Q54" s="6"/>
      <c r="R54" s="6"/>
      <c r="S54" s="6"/>
      <c r="T54" s="6"/>
      <c r="U54" s="6"/>
      <c r="V54" s="6"/>
      <c r="W54" s="6"/>
      <c r="X54" s="6"/>
      <c r="Y54" s="6"/>
    </row>
    <row r="55" spans="1:54" s="17" customFormat="1" x14ac:dyDescent="0.25">
      <c r="A55" s="20"/>
      <c r="B55" s="6"/>
      <c r="C55" s="6"/>
      <c r="D55" s="6"/>
      <c r="E55" s="6"/>
      <c r="F55" s="6"/>
      <c r="G55" s="6"/>
      <c r="H55" s="6"/>
      <c r="I55" s="6"/>
      <c r="J55" s="6"/>
      <c r="K55" s="6"/>
      <c r="L55" s="6"/>
      <c r="M55" s="6"/>
      <c r="N55" s="6"/>
      <c r="O55" s="6"/>
      <c r="P55" s="6"/>
      <c r="Q55" s="6"/>
      <c r="R55" s="6"/>
      <c r="S55" s="6"/>
      <c r="T55" s="6"/>
      <c r="U55" s="6"/>
      <c r="V55" s="6"/>
      <c r="W55" s="6"/>
      <c r="X55" s="6"/>
      <c r="Y55" s="6"/>
    </row>
  </sheetData>
  <mergeCells count="65">
    <mergeCell ref="AS18:AS35"/>
    <mergeCell ref="AS39:AS43"/>
    <mergeCell ref="Z18:Z35"/>
    <mergeCell ref="AB18:AB35"/>
    <mergeCell ref="AC18:AC35"/>
    <mergeCell ref="AE18:AE35"/>
    <mergeCell ref="AF18:AF35"/>
    <mergeCell ref="AG18:AG35"/>
    <mergeCell ref="AH18:AH35"/>
    <mergeCell ref="AL18:AL35"/>
    <mergeCell ref="AI18:AI35"/>
    <mergeCell ref="AK18:AK35"/>
    <mergeCell ref="AR18:AR35"/>
    <mergeCell ref="AN18:AN35"/>
    <mergeCell ref="AJ39:AJ43"/>
    <mergeCell ref="AQ18:AQ35"/>
    <mergeCell ref="B2:T2"/>
    <mergeCell ref="A39:A43"/>
    <mergeCell ref="A18:A35"/>
    <mergeCell ref="AQ16:AR16"/>
    <mergeCell ref="AE39:AE43"/>
    <mergeCell ref="AF39:AF43"/>
    <mergeCell ref="AM18:AM35"/>
    <mergeCell ref="AO18:AO35"/>
    <mergeCell ref="AP18:AP35"/>
    <mergeCell ref="AJ18:AJ35"/>
    <mergeCell ref="AM39:AM43"/>
    <mergeCell ref="AO39:AO43"/>
    <mergeCell ref="AP39:AP43"/>
    <mergeCell ref="AQ39:AQ43"/>
    <mergeCell ref="AL39:AL43"/>
    <mergeCell ref="AK39:AK43"/>
    <mergeCell ref="AR39:AR43"/>
    <mergeCell ref="AN39:AN43"/>
    <mergeCell ref="Z45:Z47"/>
    <mergeCell ref="AB45:AB47"/>
    <mergeCell ref="AC45:AC47"/>
    <mergeCell ref="AE45:AE47"/>
    <mergeCell ref="AF45:AF47"/>
    <mergeCell ref="AO45:AO47"/>
    <mergeCell ref="AP45:AP47"/>
    <mergeCell ref="AQ45:AR47"/>
    <mergeCell ref="AG39:AG43"/>
    <mergeCell ref="AH39:AH43"/>
    <mergeCell ref="AI39:AI43"/>
    <mergeCell ref="Z39:Z43"/>
    <mergeCell ref="AB39:AB43"/>
    <mergeCell ref="AC39:AC43"/>
    <mergeCell ref="AS45:AS47"/>
    <mergeCell ref="AG45:AG47"/>
    <mergeCell ref="AH45:AH47"/>
    <mergeCell ref="AL45:AL47"/>
    <mergeCell ref="AK45:AK47"/>
    <mergeCell ref="AM45:AM47"/>
    <mergeCell ref="AN45:AN47"/>
    <mergeCell ref="AJ45:AJ47"/>
    <mergeCell ref="AI45:AI47"/>
    <mergeCell ref="AT18:AT35"/>
    <mergeCell ref="AU18:AU35"/>
    <mergeCell ref="AV18:AV35"/>
    <mergeCell ref="AW18:AW35"/>
    <mergeCell ref="AT39:AT43"/>
    <mergeCell ref="AU39:AU43"/>
    <mergeCell ref="AV39:AV43"/>
    <mergeCell ref="AW39:AW4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3917-05B9-452A-A5ED-91E0BB17EB78}">
  <dimension ref="A1:C11"/>
  <sheetViews>
    <sheetView workbookViewId="0">
      <selection activeCell="A17" sqref="A17"/>
    </sheetView>
  </sheetViews>
  <sheetFormatPr defaultRowHeight="15" x14ac:dyDescent="0.25"/>
  <cols>
    <col min="1" max="1" width="46.7109375" customWidth="1"/>
    <col min="2" max="2" width="9" customWidth="1"/>
    <col min="3" max="3" width="11.5703125" bestFit="1" customWidth="1"/>
  </cols>
  <sheetData>
    <row r="1" spans="1:3" x14ac:dyDescent="0.25">
      <c r="A1" t="s">
        <v>97</v>
      </c>
    </row>
    <row r="3" spans="1:3" x14ac:dyDescent="0.25">
      <c r="A3" s="3" t="s">
        <v>193</v>
      </c>
      <c r="B3" s="3"/>
      <c r="C3" s="2"/>
    </row>
    <row r="5" spans="1:3" x14ac:dyDescent="0.25">
      <c r="A5" s="3"/>
      <c r="B5" s="3"/>
      <c r="C5" s="70" t="s">
        <v>98</v>
      </c>
    </row>
    <row r="6" spans="1:3" x14ac:dyDescent="0.25">
      <c r="A6" s="3"/>
      <c r="B6" s="3"/>
      <c r="C6" s="3"/>
    </row>
    <row r="7" spans="1:3" x14ac:dyDescent="0.25">
      <c r="A7" s="1" t="s">
        <v>99</v>
      </c>
      <c r="C7" s="71">
        <f>233966-26759-21786</f>
        <v>185421</v>
      </c>
    </row>
    <row r="8" spans="1:3" ht="60" x14ac:dyDescent="0.25">
      <c r="A8" s="1" t="s">
        <v>100</v>
      </c>
      <c r="C8" s="71">
        <v>620248</v>
      </c>
    </row>
    <row r="9" spans="1:3" ht="75" x14ac:dyDescent="0.25">
      <c r="A9" s="1" t="s">
        <v>101</v>
      </c>
      <c r="C9" s="71">
        <v>986617</v>
      </c>
    </row>
    <row r="10" spans="1:3" ht="15.75" thickBot="1" x14ac:dyDescent="0.3">
      <c r="A10" t="s">
        <v>102</v>
      </c>
      <c r="C10" s="13">
        <f>SUM(C7:C9)</f>
        <v>1792286</v>
      </c>
    </row>
    <row r="11" spans="1:3" ht="15.75" thickTop="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662CF-FBD6-43F8-924D-101EA9A22F1E}">
  <dimension ref="A1:D11"/>
  <sheetViews>
    <sheetView workbookViewId="0">
      <selection activeCell="E16" sqref="E16"/>
    </sheetView>
  </sheetViews>
  <sheetFormatPr defaultColWidth="8.85546875" defaultRowHeight="15" x14ac:dyDescent="0.25"/>
  <cols>
    <col min="1" max="1" width="39.42578125" bestFit="1" customWidth="1"/>
    <col min="2" max="2" width="2.42578125" customWidth="1"/>
    <col min="3" max="3" width="15" bestFit="1" customWidth="1"/>
    <col min="4" max="4" width="2.42578125" customWidth="1"/>
    <col min="6" max="6" width="7.28515625" customWidth="1"/>
  </cols>
  <sheetData>
    <row r="1" spans="1:4" x14ac:dyDescent="0.25">
      <c r="A1" t="s">
        <v>97</v>
      </c>
    </row>
    <row r="3" spans="1:4" x14ac:dyDescent="0.25">
      <c r="A3" s="3" t="s">
        <v>105</v>
      </c>
      <c r="B3" s="3"/>
      <c r="C3" s="2"/>
      <c r="D3" s="4"/>
    </row>
    <row r="5" spans="1:4" x14ac:dyDescent="0.25">
      <c r="A5" s="3"/>
      <c r="B5" s="3"/>
      <c r="C5" s="3" t="s">
        <v>98</v>
      </c>
      <c r="D5" s="3"/>
    </row>
    <row r="6" spans="1:4" x14ac:dyDescent="0.25">
      <c r="A6" s="3"/>
      <c r="B6" s="3"/>
      <c r="C6" s="3"/>
      <c r="D6" s="3"/>
    </row>
    <row r="7" spans="1:4" ht="30" x14ac:dyDescent="0.25">
      <c r="A7" s="1" t="s">
        <v>99</v>
      </c>
      <c r="C7" s="14">
        <v>-157745</v>
      </c>
      <c r="D7" s="3"/>
    </row>
    <row r="8" spans="1:4" ht="60" x14ac:dyDescent="0.25">
      <c r="A8" s="1" t="s">
        <v>100</v>
      </c>
      <c r="C8" s="14">
        <v>458002</v>
      </c>
      <c r="D8" s="3"/>
    </row>
    <row r="9" spans="1:4" ht="90" x14ac:dyDescent="0.25">
      <c r="A9" s="1" t="s">
        <v>101</v>
      </c>
      <c r="C9" s="14">
        <v>114362</v>
      </c>
      <c r="D9" s="3"/>
    </row>
    <row r="10" spans="1:4" ht="15.75" thickBot="1" x14ac:dyDescent="0.3">
      <c r="A10" t="s">
        <v>102</v>
      </c>
      <c r="C10" s="13">
        <f>SUM(C7:C9)</f>
        <v>414619</v>
      </c>
      <c r="D10" s="4"/>
    </row>
    <row r="11" spans="1:4" ht="15.75" thickTop="1" x14ac:dyDescent="0.25"/>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Overall</vt:lpstr>
      <vt:lpstr>Carryover (Reserves)</vt:lpstr>
      <vt:lpstr>Carryover (Reserves)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Ginny P. Lee</dc:creator>
  <cp:lastModifiedBy>Ginny Lee</cp:lastModifiedBy>
  <dcterms:created xsi:type="dcterms:W3CDTF">2023-12-12T15:02:29Z</dcterms:created>
  <dcterms:modified xsi:type="dcterms:W3CDTF">2025-12-09T21:32:51Z</dcterms:modified>
</cp:coreProperties>
</file>